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521" windowWidth="6915" windowHeight="7965" tabRatio="599" activeTab="0"/>
  </bookViews>
  <sheets>
    <sheet name="Print Version" sheetId="1" r:id="rId1"/>
    <sheet name="Input sheets" sheetId="2" r:id="rId2"/>
  </sheets>
  <definedNames>
    <definedName name="_xlnm.Print_Area" localSheetId="1">'Input sheets'!$A$4:$BK$55</definedName>
    <definedName name="_xlnm.Print_Area" localSheetId="0">'Print Version'!$A$3:$AZ$62</definedName>
  </definedNames>
  <calcPr fullCalcOnLoad="1"/>
</workbook>
</file>

<file path=xl/sharedStrings.xml><?xml version="1.0" encoding="utf-8"?>
<sst xmlns="http://schemas.openxmlformats.org/spreadsheetml/2006/main" count="260" uniqueCount="139">
  <si>
    <t>These cells contain rounding adjustments.</t>
  </si>
  <si>
    <t>DETERMINATION OF REVENUE EXCESS / (DEFICIENCY)</t>
  </si>
  <si>
    <t>UTILITY RATE BASE</t>
  </si>
  <si>
    <t>UTILITY INCOME</t>
  </si>
  <si>
    <t>CAPITALIZATION AND COST OF CAPITAL</t>
  </si>
  <si>
    <t>($ Millions)</t>
  </si>
  <si>
    <t>Per</t>
  </si>
  <si>
    <t>Company</t>
  </si>
  <si>
    <t>Adjustment</t>
  </si>
  <si>
    <t>Board</t>
  </si>
  <si>
    <t>PER COMPANY</t>
  </si>
  <si>
    <t>Ex. N3/T2/S4/p.1</t>
  </si>
  <si>
    <t>Revenue</t>
  </si>
  <si>
    <t>Capital</t>
  </si>
  <si>
    <t>Cost</t>
  </si>
  <si>
    <t>Return</t>
  </si>
  <si>
    <t>Utility Income</t>
  </si>
  <si>
    <t xml:space="preserve">   Gas Sales</t>
  </si>
  <si>
    <t>Structure</t>
  </si>
  <si>
    <t>Ratios</t>
  </si>
  <si>
    <t>Rate</t>
  </si>
  <si>
    <t>Component</t>
  </si>
  <si>
    <t>Utility Plant</t>
  </si>
  <si>
    <t>Utility Rate Base</t>
  </si>
  <si>
    <t xml:space="preserve">   Gross Plant at Cost</t>
  </si>
  <si>
    <t>Long-term debt</t>
  </si>
  <si>
    <t xml:space="preserve">   Accumulated Depreciation</t>
  </si>
  <si>
    <t>Short-term debt</t>
  </si>
  <si>
    <t>Indicated Rate of Return</t>
  </si>
  <si>
    <t xml:space="preserve">   Other Operating Revenue</t>
  </si>
  <si>
    <t>Net Utility Plant</t>
  </si>
  <si>
    <t xml:space="preserve">   Other Income</t>
  </si>
  <si>
    <t xml:space="preserve">   Total Revenue</t>
  </si>
  <si>
    <t>Preference shares</t>
  </si>
  <si>
    <t>Allowance for Working Capital</t>
  </si>
  <si>
    <t>Common equity</t>
  </si>
  <si>
    <t>Costs and Expenses</t>
  </si>
  <si>
    <t xml:space="preserve">   Materials and Supplies</t>
  </si>
  <si>
    <t xml:space="preserve">   Gas Costs</t>
  </si>
  <si>
    <t xml:space="preserve">   Mortgages Receivable</t>
  </si>
  <si>
    <t xml:space="preserve">   Operations and Maintenance</t>
  </si>
  <si>
    <t xml:space="preserve">   Working Cash Allowance</t>
  </si>
  <si>
    <t xml:space="preserve">   Depreciation and Amortization</t>
  </si>
  <si>
    <t xml:space="preserve">   Prepaid Expenses</t>
  </si>
  <si>
    <t xml:space="preserve">   Municipal and Other Taxes</t>
  </si>
  <si>
    <t>PER BOARD</t>
  </si>
  <si>
    <t xml:space="preserve">   Gas In Storage</t>
  </si>
  <si>
    <t xml:space="preserve">   Customer security deposits</t>
  </si>
  <si>
    <t xml:space="preserve">   Total Costs and Expenses</t>
  </si>
  <si>
    <t>Income Taxes</t>
  </si>
  <si>
    <t xml:space="preserve">   Total Income Taxes</t>
  </si>
  <si>
    <t>Total Working Capital</t>
  </si>
  <si>
    <t>Ontario Utility Rate Base</t>
  </si>
  <si>
    <t>Additional</t>
  </si>
  <si>
    <t xml:space="preserve">  Before Income Taxes</t>
  </si>
  <si>
    <t>PER COMPANY AFTER SETTLEMENT</t>
  </si>
  <si>
    <t>Preference Capital</t>
  </si>
  <si>
    <t>Common Equity</t>
  </si>
  <si>
    <t>Short-term Debt</t>
  </si>
  <si>
    <t>Long-term Debt</t>
  </si>
  <si>
    <t>Excess/(Deficiency) in Rate of Return</t>
  </si>
  <si>
    <t>Net Revenue Excess/(Deficiency)</t>
  </si>
  <si>
    <t>Gross Revenue Excess/(Deficiency)</t>
  </si>
  <si>
    <t>Settlement</t>
  </si>
  <si>
    <t>Utility Income Before Taxes</t>
  </si>
  <si>
    <t xml:space="preserve">     Large Corporation Tax</t>
  </si>
  <si>
    <t xml:space="preserve">     Other Non-Deductible Items</t>
  </si>
  <si>
    <t>Less Capital Cost Allowance</t>
  </si>
  <si>
    <t>Taxable Income</t>
  </si>
  <si>
    <t>Income Tax Rates</t>
  </si>
  <si>
    <t>Income Tax Amounts</t>
  </si>
  <si>
    <t>Total Income Tax Amount</t>
  </si>
  <si>
    <t>Part VI.1 tax</t>
  </si>
  <si>
    <t>Investment Tax Credit</t>
  </si>
  <si>
    <t>Interest Expense</t>
  </si>
  <si>
    <t>Tax Rate</t>
  </si>
  <si>
    <t>Footnotes:</t>
  </si>
  <si>
    <t>Per Company</t>
  </si>
  <si>
    <t>After Settlement</t>
  </si>
  <si>
    <t>CALCULATION OF TAXABLE INCOME AND INCOME TAX EXPENSE</t>
  </si>
  <si>
    <t>Federal</t>
  </si>
  <si>
    <t>Ontario</t>
  </si>
  <si>
    <t>Total</t>
  </si>
  <si>
    <t>This is the print version of the Schedules.  It is already formated just to print the schedules.</t>
  </si>
  <si>
    <t>DO NOT MAKE ANY CHANGES ON THIS WORKSHEET.  Make changes to the Input sheets.</t>
  </si>
  <si>
    <t>Provision for Income Taxes</t>
  </si>
  <si>
    <t>Interest Tax Shield</t>
  </si>
  <si>
    <t xml:space="preserve">   Separation Expenses</t>
  </si>
  <si>
    <t xml:space="preserve">ENBRIDGE CONSUMERS GAS </t>
  </si>
  <si>
    <t xml:space="preserve">   Transportation of Gas</t>
  </si>
  <si>
    <t xml:space="preserve">   Transmission, Compression and Storage</t>
  </si>
  <si>
    <t>Page 4 of 5</t>
  </si>
  <si>
    <t>Worksheet for Appendix A page 4of 5</t>
  </si>
  <si>
    <t>Page 3 of 5</t>
  </si>
  <si>
    <t>Page 2 of 5</t>
  </si>
  <si>
    <t>Page 1 of 5</t>
  </si>
  <si>
    <t>Page 5 of 5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</si>
  <si>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Income Tax Rate at</t>
    </r>
  </si>
  <si>
    <t>Revenue Excess/(Defieciency)</t>
  </si>
  <si>
    <t>Revenue Excess/(Deficiency)</t>
  </si>
  <si>
    <t xml:space="preserve">                      </t>
  </si>
  <si>
    <t>Less Other Deductions</t>
  </si>
  <si>
    <t xml:space="preserve">   Add Backs</t>
  </si>
  <si>
    <t>PER SETTLEMENT</t>
  </si>
  <si>
    <t xml:space="preserve">        Other Non-Deductible Items</t>
  </si>
  <si>
    <t xml:space="preserve">        Large CorporationTax</t>
  </si>
  <si>
    <t xml:space="preserve">   1            Income Tax Rate at </t>
  </si>
  <si>
    <r>
      <t xml:space="preserve">Provision for Income Taxes </t>
    </r>
    <r>
      <rPr>
        <vertAlign val="superscript"/>
        <sz val="10"/>
        <rFont val="Times New Roman"/>
        <family val="1"/>
      </rPr>
      <t>1</t>
    </r>
  </si>
  <si>
    <t>Ex. N2/T2/S3/p.1</t>
  </si>
  <si>
    <t xml:space="preserve">   Accounts receivable merchandise finance plan</t>
  </si>
  <si>
    <t xml:space="preserve">   Accounts receivable rebillable projects</t>
  </si>
  <si>
    <t xml:space="preserve">   Excluding interest shield</t>
  </si>
  <si>
    <t xml:space="preserve">   Tax shield on interest expense</t>
  </si>
  <si>
    <t>Ex. N2/T2/S4/p.1</t>
  </si>
  <si>
    <t>Plus Depreciation &amp; amortization</t>
  </si>
  <si>
    <t>Taxes excluding tax shield on interest expense</t>
  </si>
  <si>
    <t>Total Income Taxes</t>
  </si>
  <si>
    <t>Ex. N2/T2/S5/p.1</t>
  </si>
  <si>
    <t>Requested Rate of Return</t>
  </si>
  <si>
    <t xml:space="preserve">   Recovery of 1/10th Not'l Def Tax Acc't</t>
  </si>
  <si>
    <t xml:space="preserve">PER BOARD </t>
  </si>
  <si>
    <t>rounding adjust.</t>
  </si>
  <si>
    <t>Footnote:</t>
  </si>
  <si>
    <r>
      <t xml:space="preserve">Company </t>
    </r>
    <r>
      <rPr>
        <b/>
        <sz val="8"/>
        <rFont val="Times New Roman"/>
        <family val="1"/>
      </rPr>
      <t>(1)</t>
    </r>
  </si>
  <si>
    <t>RP-2001-0032</t>
  </si>
  <si>
    <t>FOR THE YEAR ENDING SEPTEMBER 30, 2002</t>
  </si>
  <si>
    <t>Ex. N2/T2/S2/p.1</t>
  </si>
  <si>
    <t>Ex. M2/T2/S2/p.1</t>
  </si>
  <si>
    <t>Ex. M2/T2/S3/p.1</t>
  </si>
  <si>
    <t xml:space="preserve">   Committed line of credit costs</t>
  </si>
  <si>
    <t>Appendix C</t>
  </si>
  <si>
    <t>Ex. M2/T2/S4/p.1</t>
  </si>
  <si>
    <t>Ex. M2/T1/S4/p.1</t>
  </si>
  <si>
    <t xml:space="preserve">(1)   as filed in Exh M2/Tab 2/Sch 2 dated June 7, 2002 </t>
  </si>
  <si>
    <t xml:space="preserve">    Amortization adjustment for non-util capital</t>
  </si>
  <si>
    <t>Exhibit ref: N2/T2/S5</t>
  </si>
  <si>
    <r>
      <t>Board</t>
    </r>
    <r>
      <rPr>
        <b/>
        <sz val="8"/>
        <rFont val="Times New Roman"/>
        <family val="1"/>
      </rPr>
      <t xml:space="preserve"> (2)</t>
    </r>
  </si>
  <si>
    <t xml:space="preserve">(2)   ref: Exh N2/Tab 2/Sch 4/p.1 dated June 7, 2002 </t>
  </si>
  <si>
    <t xml:space="preserve">(1)   ref: Exh M2/Tab 2/Sch 3 dated June 7, 2002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</si>
</sst>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_);\(&quot;$&quot;#,##0.0\)"/>
    <numFmt numFmtId="167" formatCode="#,##0.0_);\(#,##0.0\)"/>
    <numFmt numFmtId="168" formatCode="&quot;$&quot;#,##0.0_);\(&quot;$&quot;#,##0.0000\)"/>
    <numFmt numFmtId="169" formatCode="#,##0.0_);\(#,##0.00\)"/>
    <numFmt numFmtId="170" formatCode="0.00%_);\(0.00%\)"/>
    <numFmt numFmtId="171" formatCode="#,##0.000_);\(#,##0.000\)"/>
    <numFmt numFmtId="172" formatCode="#,##0.000_);[Red]\(#,##0.000\)"/>
    <numFmt numFmtId="173" formatCode="#,##0.0000_);\(#,##0.0000\)"/>
    <numFmt numFmtId="174" formatCode="#,##0.00000_);\(#,##0.00000\)"/>
    <numFmt numFmtId="175" formatCode="#,##0.0_);[Red]\(#,##0.0\)"/>
    <numFmt numFmtId="176" formatCode="#,##0.0000_);[Red]\(#,##0.0000\)"/>
    <numFmt numFmtId="177" formatCode="0.0%"/>
    <numFmt numFmtId="178" formatCode="0.000%"/>
    <numFmt numFmtId="179" formatCode="0.0000%"/>
    <numFmt numFmtId="180" formatCode="0.0%_);\(0.0%\)"/>
    <numFmt numFmtId="181" formatCode="0.000%_);\(0.000%\)"/>
    <numFmt numFmtId="182" formatCode="0.0000%_);\(0.0000%\)"/>
    <numFmt numFmtId="183" formatCode="0.00000%_);\(0.00000%\)"/>
    <numFmt numFmtId="184" formatCode="&quot;$&quot;#,##0.000_);\(&quot;$&quot;#,##0.000\)"/>
    <numFmt numFmtId="185" formatCode="&quot;$&quot;#,##0.0000_);\(&quot;$&quot;#,##0.0000\)"/>
    <numFmt numFmtId="186" formatCode="0.000000000000000000%"/>
    <numFmt numFmtId="187" formatCode="0.00_);[Red]\(0.00\)"/>
    <numFmt numFmtId="188" formatCode="0.0_);\(0.0\)"/>
    <numFmt numFmtId="189" formatCode="0.00_);\(0.00\)"/>
    <numFmt numFmtId="190" formatCode="#,##0.00000_);[Red]\(#,##0.00000\)"/>
    <numFmt numFmtId="191" formatCode="&quot;$&quot;#,##0.0_);[Red]\(&quot;$&quot;#,##0.0\)"/>
    <numFmt numFmtId="192" formatCode="&quot;$&quot;#,##0.0"/>
    <numFmt numFmtId="193" formatCode="&quot;$&quot;#,##0.00"/>
    <numFmt numFmtId="194" formatCode="_(* #,##0.0_);_(* \(#,##0.0\);_(* &quot;-&quot;?_);_(@_)"/>
    <numFmt numFmtId="195" formatCode="0.00000000000000000%"/>
    <numFmt numFmtId="196" formatCode="0.0000000000000000%"/>
    <numFmt numFmtId="197" formatCode="0.000000000000000%"/>
    <numFmt numFmtId="198" formatCode="0.00000000000000%"/>
    <numFmt numFmtId="199" formatCode="0.000"/>
    <numFmt numFmtId="200" formatCode="0.0000"/>
    <numFmt numFmtId="201" formatCode="0.00000%"/>
    <numFmt numFmtId="202" formatCode="0.000000%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6"/>
      <name val="Times New Roman"/>
      <family val="0"/>
    </font>
    <font>
      <b/>
      <sz val="7"/>
      <name val="MS Sans Serif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0"/>
    </font>
    <font>
      <b/>
      <vertAlign val="superscript"/>
      <sz val="10"/>
      <name val="MS Sans Serif"/>
      <family val="0"/>
    </font>
    <font>
      <b/>
      <sz val="9"/>
      <name val="MS Sans Serif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u val="double"/>
      <sz val="10"/>
      <name val="Times New Roman"/>
      <family val="1"/>
    </font>
    <font>
      <sz val="6"/>
      <name val="Times New Roman"/>
      <family val="1"/>
    </font>
    <font>
      <vertAlign val="superscript"/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mediumGray">
        <fgColor indexed="9"/>
        <bgColor indexed="13"/>
      </patternFill>
    </fill>
    <fill>
      <patternFill patternType="darkGray">
        <fgColor indexed="9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 vertical="top"/>
    </xf>
    <xf numFmtId="167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2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67" fontId="4" fillId="3" borderId="0" xfId="0" applyNumberFormat="1" applyFont="1" applyFill="1" applyAlignment="1">
      <alignment/>
    </xf>
    <xf numFmtId="10" fontId="4" fillId="3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0" fontId="4" fillId="4" borderId="1" xfId="0" applyNumberFormat="1" applyFont="1" applyFill="1" applyBorder="1" applyAlignment="1">
      <alignment/>
    </xf>
    <xf numFmtId="10" fontId="4" fillId="4" borderId="3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Fill="1" applyAlignment="1">
      <alignment horizontal="center"/>
    </xf>
    <xf numFmtId="175" fontId="4" fillId="4" borderId="0" xfId="15" applyNumberFormat="1" applyFont="1" applyFill="1" applyBorder="1" applyAlignment="1">
      <alignment/>
    </xf>
    <xf numFmtId="167" fontId="4" fillId="4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10" fontId="4" fillId="5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188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77" fontId="0" fillId="0" borderId="0" xfId="19" applyNumberForma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170" fontId="4" fillId="0" borderId="0" xfId="0" applyNumberFormat="1" applyFont="1" applyFill="1" applyAlignment="1">
      <alignment horizontal="left"/>
    </xf>
    <xf numFmtId="167" fontId="4" fillId="0" borderId="4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67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75" fontId="4" fillId="0" borderId="0" xfId="15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8" fontId="4" fillId="0" borderId="2" xfId="0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88" fontId="4" fillId="0" borderId="3" xfId="0" applyNumberFormat="1" applyFont="1" applyBorder="1" applyAlignment="1">
      <alignment/>
    </xf>
    <xf numFmtId="177" fontId="4" fillId="0" borderId="0" xfId="19" applyNumberFormat="1" applyFont="1" applyAlignment="1">
      <alignment/>
    </xf>
    <xf numFmtId="167" fontId="5" fillId="0" borderId="0" xfId="0" applyNumberFormat="1" applyFont="1" applyFill="1" applyAlignment="1">
      <alignment horizontal="center"/>
    </xf>
    <xf numFmtId="167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10" fontId="4" fillId="0" borderId="0" xfId="19" applyNumberFormat="1" applyFont="1" applyAlignment="1">
      <alignment/>
    </xf>
    <xf numFmtId="10" fontId="4" fillId="0" borderId="5" xfId="19" applyNumberFormat="1" applyFont="1" applyBorder="1" applyAlignment="1">
      <alignment/>
    </xf>
    <xf numFmtId="10" fontId="4" fillId="0" borderId="4" xfId="19" applyNumberFormat="1" applyFont="1" applyBorder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173" fontId="4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 quotePrefix="1">
      <alignment/>
    </xf>
    <xf numFmtId="0" fontId="4" fillId="0" borderId="0" xfId="0" applyFont="1" applyAlignment="1" quotePrefix="1">
      <alignment/>
    </xf>
    <xf numFmtId="10" fontId="15" fillId="0" borderId="3" xfId="0" applyNumberFormat="1" applyFont="1" applyFill="1" applyBorder="1" applyAlignment="1">
      <alignment/>
    </xf>
    <xf numFmtId="9" fontId="4" fillId="0" borderId="0" xfId="19" applyFont="1" applyFill="1" applyAlignment="1">
      <alignment/>
    </xf>
    <xf numFmtId="9" fontId="4" fillId="0" borderId="0" xfId="19" applyFont="1" applyFill="1" applyBorder="1" applyAlignment="1">
      <alignment/>
    </xf>
    <xf numFmtId="167" fontId="4" fillId="3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6" fontId="4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 quotePrefix="1">
      <alignment horizontal="left" vertical="top"/>
    </xf>
    <xf numFmtId="166" fontId="15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188" fontId="10" fillId="0" borderId="0" xfId="0" applyNumberFormat="1" applyFont="1" applyAlignment="1" quotePrefix="1">
      <alignment/>
    </xf>
    <xf numFmtId="189" fontId="10" fillId="0" borderId="0" xfId="0" applyNumberFormat="1" applyFont="1" applyAlignment="1" quotePrefix="1">
      <alignment/>
    </xf>
    <xf numFmtId="0" fontId="4" fillId="0" borderId="0" xfId="0" applyFont="1" applyFill="1" applyBorder="1" applyAlignment="1" quotePrefix="1">
      <alignment horizontal="centerContinuous"/>
    </xf>
    <xf numFmtId="0" fontId="10" fillId="0" borderId="0" xfId="0" applyFont="1" applyFill="1" applyAlignment="1" quotePrefix="1">
      <alignment/>
    </xf>
    <xf numFmtId="2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89" fontId="0" fillId="0" borderId="0" xfId="0" applyNumberFormat="1" applyAlignment="1">
      <alignment/>
    </xf>
    <xf numFmtId="189" fontId="4" fillId="5" borderId="0" xfId="0" applyNumberFormat="1" applyFont="1" applyFill="1" applyAlignment="1">
      <alignment/>
    </xf>
    <xf numFmtId="189" fontId="4" fillId="0" borderId="0" xfId="17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0" fontId="4" fillId="6" borderId="5" xfId="0" applyNumberFormat="1" applyFont="1" applyFill="1" applyBorder="1" applyAlignment="1">
      <alignment/>
    </xf>
    <xf numFmtId="10" fontId="4" fillId="0" borderId="5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4" fillId="0" borderId="4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188" fontId="4" fillId="7" borderId="0" xfId="0" applyNumberFormat="1" applyFont="1" applyFill="1" applyAlignment="1">
      <alignment/>
    </xf>
    <xf numFmtId="0" fontId="18" fillId="7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170" fontId="4" fillId="6" borderId="0" xfId="0" applyNumberFormat="1" applyFont="1" applyFill="1" applyAlignment="1">
      <alignment horizontal="left"/>
    </xf>
    <xf numFmtId="188" fontId="4" fillId="0" borderId="4" xfId="0" applyNumberFormat="1" applyFont="1" applyBorder="1" applyAlignment="1">
      <alignment/>
    </xf>
    <xf numFmtId="188" fontId="4" fillId="0" borderId="5" xfId="0" applyNumberFormat="1" applyFont="1" applyBorder="1" applyAlignment="1">
      <alignment/>
    </xf>
    <xf numFmtId="188" fontId="4" fillId="0" borderId="0" xfId="0" applyNumberFormat="1" applyFont="1" applyFill="1" applyAlignment="1">
      <alignment/>
    </xf>
    <xf numFmtId="175" fontId="4" fillId="0" borderId="5" xfId="15" applyNumberFormat="1" applyFont="1" applyFill="1" applyBorder="1" applyAlignment="1">
      <alignment/>
    </xf>
    <xf numFmtId="175" fontId="4" fillId="5" borderId="0" xfId="15" applyNumberFormat="1" applyFont="1" applyFill="1" applyAlignment="1">
      <alignment/>
    </xf>
    <xf numFmtId="175" fontId="15" fillId="0" borderId="0" xfId="15" applyNumberFormat="1" applyFont="1" applyFill="1" applyAlignment="1">
      <alignment/>
    </xf>
    <xf numFmtId="175" fontId="16" fillId="0" borderId="0" xfId="15" applyNumberFormat="1" applyFont="1" applyFill="1" applyAlignment="1">
      <alignment/>
    </xf>
    <xf numFmtId="175" fontId="4" fillId="0" borderId="0" xfId="15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175" fontId="4" fillId="0" borderId="3" xfId="15" applyNumberFormat="1" applyFont="1" applyFill="1" applyBorder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Fill="1" applyAlignment="1">
      <alignment/>
    </xf>
    <xf numFmtId="175" fontId="7" fillId="0" borderId="0" xfId="15" applyNumberFormat="1" applyFont="1" applyFill="1" applyAlignment="1">
      <alignment horizontal="left" vertical="top"/>
    </xf>
    <xf numFmtId="175" fontId="11" fillId="0" borderId="0" xfId="15" applyNumberFormat="1" applyFont="1" applyFill="1" applyAlignment="1">
      <alignment horizontal="left" vertical="top"/>
    </xf>
    <xf numFmtId="175" fontId="4" fillId="0" borderId="2" xfId="15" applyNumberFormat="1" applyFont="1" applyFill="1" applyBorder="1" applyAlignment="1">
      <alignment/>
    </xf>
    <xf numFmtId="175" fontId="11" fillId="0" borderId="0" xfId="15" applyNumberFormat="1" applyFont="1" applyFill="1" applyAlignment="1" quotePrefix="1">
      <alignment horizontal="left" vertical="top"/>
    </xf>
    <xf numFmtId="175" fontId="4" fillId="0" borderId="4" xfId="15" applyNumberFormat="1" applyFont="1" applyFill="1" applyBorder="1" applyAlignment="1">
      <alignment/>
    </xf>
    <xf numFmtId="175" fontId="10" fillId="0" borderId="0" xfId="15" applyNumberFormat="1" applyFont="1" applyFill="1" applyAlignment="1" quotePrefix="1">
      <alignment/>
    </xf>
    <xf numFmtId="175" fontId="7" fillId="0" borderId="0" xfId="15" applyNumberFormat="1" applyFont="1" applyFill="1" applyAlignment="1">
      <alignment horizontal="left" vertical="top"/>
    </xf>
    <xf numFmtId="175" fontId="4" fillId="0" borderId="3" xfId="15" applyNumberFormat="1" applyFont="1" applyFill="1" applyBorder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Fill="1" applyBorder="1" applyAlignment="1">
      <alignment/>
    </xf>
    <xf numFmtId="175" fontId="10" fillId="0" borderId="0" xfId="15" applyNumberFormat="1" applyFont="1" applyAlignment="1" quotePrefix="1">
      <alignment/>
    </xf>
    <xf numFmtId="175" fontId="4" fillId="0" borderId="2" xfId="15" applyNumberFormat="1" applyFont="1" applyBorder="1" applyAlignment="1">
      <alignment/>
    </xf>
    <xf numFmtId="175" fontId="4" fillId="0" borderId="3" xfId="15" applyNumberFormat="1" applyFont="1" applyBorder="1" applyAlignment="1">
      <alignment/>
    </xf>
    <xf numFmtId="175" fontId="0" fillId="0" borderId="0" xfId="15" applyNumberForma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5" fontId="6" fillId="0" borderId="0" xfId="15" applyNumberFormat="1" applyFont="1" applyFill="1" applyAlignment="1">
      <alignment horizontal="center"/>
    </xf>
    <xf numFmtId="200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175" fontId="4" fillId="0" borderId="5" xfId="15" applyNumberFormat="1" applyFont="1" applyBorder="1" applyAlignment="1">
      <alignment/>
    </xf>
    <xf numFmtId="175" fontId="4" fillId="0" borderId="0" xfId="15" applyNumberFormat="1" applyFont="1" applyBorder="1" applyAlignment="1">
      <alignment/>
    </xf>
    <xf numFmtId="175" fontId="15" fillId="0" borderId="0" xfId="15" applyNumberFormat="1" applyFont="1" applyAlignment="1">
      <alignment/>
    </xf>
    <xf numFmtId="175" fontId="6" fillId="0" borderId="3" xfId="15" applyNumberFormat="1" applyFont="1" applyBorder="1" applyAlignment="1">
      <alignment/>
    </xf>
    <xf numFmtId="175" fontId="6" fillId="0" borderId="0" xfId="15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10" fontId="0" fillId="0" borderId="0" xfId="19" applyNumberFormat="1" applyAlignment="1">
      <alignment/>
    </xf>
    <xf numFmtId="0" fontId="1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0</xdr:col>
      <xdr:colOff>0</xdr:colOff>
      <xdr:row>36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104775</xdr:rowOff>
    </xdr:from>
    <xdr:to>
      <xdr:col>0</xdr:col>
      <xdr:colOff>0</xdr:colOff>
      <xdr:row>36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0" y="8524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0" y="8524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0" y="8524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43</xdr:col>
      <xdr:colOff>38100</xdr:colOff>
      <xdr:row>39</xdr:row>
      <xdr:rowOff>0</xdr:rowOff>
    </xdr:from>
    <xdr:to>
      <xdr:col>51</xdr:col>
      <xdr:colOff>685800</xdr:colOff>
      <xdr:row>39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24136350" y="6924675"/>
          <a:ext cx="5886450" cy="9525"/>
        </a:xfrm>
        <a:custGeom>
          <a:pathLst>
            <a:path h="1" w="642">
              <a:moveTo>
                <a:pt x="0" y="1"/>
              </a:moveTo>
              <a:lnTo>
                <a:pt x="642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85725</xdr:rowOff>
    </xdr:from>
    <xdr:to>
      <xdr:col>10</xdr:col>
      <xdr:colOff>523875</xdr:colOff>
      <xdr:row>72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13011150"/>
          <a:ext cx="5772150" cy="28575"/>
        </a:xfrm>
        <a:custGeom>
          <a:pathLst>
            <a:path h="2" w="579">
              <a:moveTo>
                <a:pt x="0" y="2"/>
              </a:moveTo>
              <a:lnTo>
                <a:pt x="579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133350</xdr:colOff>
      <xdr:row>45</xdr:row>
      <xdr:rowOff>9525</xdr:rowOff>
    </xdr:from>
    <xdr:to>
      <xdr:col>30</xdr:col>
      <xdr:colOff>19050</xdr:colOff>
      <xdr:row>45</xdr:row>
      <xdr:rowOff>19050</xdr:rowOff>
    </xdr:to>
    <xdr:sp>
      <xdr:nvSpPr>
        <xdr:cNvPr id="9" name="Line 10"/>
        <xdr:cNvSpPr>
          <a:spLocks/>
        </xdr:cNvSpPr>
      </xdr:nvSpPr>
      <xdr:spPr>
        <a:xfrm>
          <a:off x="12353925" y="8020050"/>
          <a:ext cx="49244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32</xdr:col>
      <xdr:colOff>38100</xdr:colOff>
      <xdr:row>45</xdr:row>
      <xdr:rowOff>171450</xdr:rowOff>
    </xdr:from>
    <xdr:to>
      <xdr:col>42</xdr:col>
      <xdr:colOff>590550</xdr:colOff>
      <xdr:row>45</xdr:row>
      <xdr:rowOff>200025</xdr:rowOff>
    </xdr:to>
    <xdr:sp>
      <xdr:nvSpPr>
        <xdr:cNvPr id="10" name="AutoShape 11"/>
        <xdr:cNvSpPr>
          <a:spLocks/>
        </xdr:cNvSpPr>
      </xdr:nvSpPr>
      <xdr:spPr>
        <a:xfrm flipV="1">
          <a:off x="18288000" y="8181975"/>
          <a:ext cx="5553075" cy="28575"/>
        </a:xfrm>
        <a:custGeom>
          <a:pathLst>
            <a:path h="1" w="632">
              <a:moveTo>
                <a:pt x="632" y="0"/>
              </a:moveTo>
              <a:lnTo>
                <a:pt x="0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152400</xdr:colOff>
      <xdr:row>90</xdr:row>
      <xdr:rowOff>95250</xdr:rowOff>
    </xdr:from>
    <xdr:to>
      <xdr:col>22</xdr:col>
      <xdr:colOff>733425</xdr:colOff>
      <xdr:row>90</xdr:row>
      <xdr:rowOff>95250</xdr:rowOff>
    </xdr:to>
    <xdr:sp>
      <xdr:nvSpPr>
        <xdr:cNvPr id="11" name="Line 12"/>
        <xdr:cNvSpPr>
          <a:spLocks/>
        </xdr:cNvSpPr>
      </xdr:nvSpPr>
      <xdr:spPr>
        <a:xfrm flipV="1">
          <a:off x="7286625" y="15935325"/>
          <a:ext cx="56673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171450</xdr:colOff>
      <xdr:row>42</xdr:row>
      <xdr:rowOff>123825</xdr:rowOff>
    </xdr:from>
    <xdr:to>
      <xdr:col>20</xdr:col>
      <xdr:colOff>723900</xdr:colOff>
      <xdr:row>42</xdr:row>
      <xdr:rowOff>133350</xdr:rowOff>
    </xdr:to>
    <xdr:sp>
      <xdr:nvSpPr>
        <xdr:cNvPr id="12" name="AutoShape 14"/>
        <xdr:cNvSpPr>
          <a:spLocks/>
        </xdr:cNvSpPr>
      </xdr:nvSpPr>
      <xdr:spPr>
        <a:xfrm>
          <a:off x="6267450" y="7610475"/>
          <a:ext cx="5705475" cy="9525"/>
        </a:xfrm>
        <a:custGeom>
          <a:pathLst>
            <a:path h="1" w="595">
              <a:moveTo>
                <a:pt x="0" y="0"/>
              </a:moveTo>
              <a:lnTo>
                <a:pt x="595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85725</xdr:colOff>
      <xdr:row>40</xdr:row>
      <xdr:rowOff>123825</xdr:rowOff>
    </xdr:from>
    <xdr:to>
      <xdr:col>10</xdr:col>
      <xdr:colOff>790575</xdr:colOff>
      <xdr:row>40</xdr:row>
      <xdr:rowOff>152400</xdr:rowOff>
    </xdr:to>
    <xdr:sp>
      <xdr:nvSpPr>
        <xdr:cNvPr id="13" name="AutoShape 15"/>
        <xdr:cNvSpPr>
          <a:spLocks/>
        </xdr:cNvSpPr>
      </xdr:nvSpPr>
      <xdr:spPr>
        <a:xfrm flipV="1">
          <a:off x="85725" y="7267575"/>
          <a:ext cx="5953125" cy="28575"/>
        </a:xfrm>
        <a:custGeom>
          <a:pathLst>
            <a:path h="1" w="595">
              <a:moveTo>
                <a:pt x="0" y="0"/>
              </a:moveTo>
              <a:lnTo>
                <a:pt x="595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41</xdr:row>
      <xdr:rowOff>104775</xdr:rowOff>
    </xdr:from>
    <xdr:to>
      <xdr:col>8</xdr:col>
      <xdr:colOff>438150</xdr:colOff>
      <xdr:row>41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2400" y="7162800"/>
          <a:ext cx="6105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85725</xdr:rowOff>
    </xdr:from>
    <xdr:to>
      <xdr:col>19</xdr:col>
      <xdr:colOff>400050</xdr:colOff>
      <xdr:row>41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6629400" y="7143750"/>
          <a:ext cx="66770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76200</xdr:rowOff>
    </xdr:from>
    <xdr:to>
      <xdr:col>29</xdr:col>
      <xdr:colOff>514350</xdr:colOff>
      <xdr:row>46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13677900" y="8077200"/>
          <a:ext cx="6391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171450</xdr:colOff>
      <xdr:row>46</xdr:row>
      <xdr:rowOff>0</xdr:rowOff>
    </xdr:from>
    <xdr:to>
      <xdr:col>40</xdr:col>
      <xdr:colOff>561975</xdr:colOff>
      <xdr:row>46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0602575" y="8001000"/>
          <a:ext cx="63817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41</xdr:col>
      <xdr:colOff>152400</xdr:colOff>
      <xdr:row>50</xdr:row>
      <xdr:rowOff>104775</xdr:rowOff>
    </xdr:from>
    <xdr:to>
      <xdr:col>51</xdr:col>
      <xdr:colOff>504825</xdr:colOff>
      <xdr:row>50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27222450" y="8848725"/>
          <a:ext cx="6038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7"/>
  <sheetViews>
    <sheetView tabSelected="1" view="pageBreakPreview" zoomScale="60" zoomScaleNormal="80" workbookViewId="0" topLeftCell="A15">
      <selection activeCell="A15" sqref="A15"/>
    </sheetView>
  </sheetViews>
  <sheetFormatPr defaultColWidth="9.140625" defaultRowHeight="12.75"/>
  <cols>
    <col min="1" max="1" width="13.421875" style="0" customWidth="1"/>
    <col min="4" max="4" width="5.7109375" style="0" customWidth="1"/>
    <col min="5" max="5" width="10.28125" style="0" customWidth="1"/>
    <col min="6" max="6" width="4.140625" style="0" customWidth="1"/>
    <col min="7" max="7" width="10.28125" style="0" customWidth="1"/>
    <col min="8" max="8" width="3.7109375" style="0" customWidth="1"/>
    <col min="9" max="9" width="10.28125" style="0" customWidth="1"/>
    <col min="10" max="10" width="2.57421875" style="0" customWidth="1"/>
    <col min="11" max="11" width="12.7109375" style="0" customWidth="1"/>
    <col min="12" max="12" width="15.57421875" style="0" customWidth="1"/>
    <col min="13" max="13" width="13.140625" style="0" customWidth="1"/>
    <col min="14" max="14" width="9.28125" style="0" customWidth="1"/>
    <col min="15" max="15" width="9.7109375" style="0" customWidth="1"/>
    <col min="16" max="16" width="3.8515625" style="0" customWidth="1"/>
    <col min="17" max="17" width="9.7109375" style="0" customWidth="1"/>
    <col min="18" max="18" width="3.00390625" style="0" customWidth="1"/>
    <col min="19" max="19" width="9.7109375" style="0" customWidth="1"/>
    <col min="20" max="20" width="3.28125" style="0" customWidth="1"/>
    <col min="21" max="21" width="11.140625" style="0" customWidth="1"/>
    <col min="22" max="22" width="3.421875" style="0" customWidth="1"/>
    <col min="23" max="23" width="14.28125" style="0" customWidth="1"/>
    <col min="24" max="24" width="13.140625" style="0" customWidth="1"/>
    <col min="25" max="25" width="12.57421875" style="0" customWidth="1"/>
    <col min="26" max="26" width="8.421875" style="0" customWidth="1"/>
    <col min="27" max="27" width="6.57421875" style="0" customWidth="1"/>
    <col min="28" max="28" width="8.421875" style="0" customWidth="1"/>
    <col min="29" max="29" width="4.00390625" style="0" customWidth="1"/>
    <col min="30" max="30" width="8.140625" style="0" customWidth="1"/>
    <col min="31" max="31" width="1.57421875" style="0" customWidth="1"/>
    <col min="32" max="32" width="13.28125" style="0" customWidth="1"/>
    <col min="33" max="33" width="15.8515625" style="0" customWidth="1"/>
    <col min="34" max="34" width="6.00390625" style="0" customWidth="1"/>
    <col min="35" max="35" width="9.7109375" style="0" customWidth="1"/>
    <col min="36" max="36" width="5.28125" style="0" customWidth="1"/>
    <col min="37" max="37" width="9.7109375" style="0" customWidth="1"/>
    <col min="38" max="38" width="3.7109375" style="0" customWidth="1"/>
    <col min="39" max="39" width="8.28125" style="0" customWidth="1"/>
    <col min="40" max="40" width="4.140625" style="0" customWidth="1"/>
    <col min="41" max="41" width="9.7109375" style="0" customWidth="1"/>
    <col min="42" max="42" width="2.57421875" style="0" customWidth="1"/>
    <col min="43" max="43" width="12.7109375" style="0" customWidth="1"/>
    <col min="44" max="44" width="9.57421875" style="0" customWidth="1"/>
    <col min="45" max="45" width="13.140625" style="0" customWidth="1"/>
    <col min="46" max="46" width="10.00390625" style="0" customWidth="1"/>
    <col min="47" max="47" width="8.421875" style="0" customWidth="1"/>
    <col min="48" max="48" width="9.421875" style="0" customWidth="1"/>
    <col min="49" max="49" width="8.28125" style="0" customWidth="1"/>
    <col min="50" max="50" width="10.00390625" style="0" customWidth="1"/>
    <col min="51" max="51" width="9.7109375" style="0" customWidth="1"/>
    <col min="52" max="52" width="13.421875" style="0" customWidth="1"/>
  </cols>
  <sheetData>
    <row r="1" spans="1:52" ht="12.75">
      <c r="A1" s="105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S1" s="64"/>
      <c r="AT1" s="64"/>
      <c r="AU1" s="64"/>
      <c r="AV1" s="64"/>
      <c r="AW1" s="64"/>
      <c r="AX1" s="68"/>
      <c r="AY1" s="68"/>
      <c r="AZ1" s="68"/>
    </row>
    <row r="2" spans="1:52" ht="12.75">
      <c r="A2" s="104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S2" s="64"/>
      <c r="AT2" s="64"/>
      <c r="AU2" s="64"/>
      <c r="AV2" s="64"/>
      <c r="AW2" s="64"/>
      <c r="AX2" s="68"/>
      <c r="AY2" s="68"/>
      <c r="AZ2" s="68"/>
    </row>
    <row r="3" spans="1:52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155"/>
      <c r="L3" s="68"/>
      <c r="M3" s="68"/>
      <c r="N3" s="68"/>
      <c r="O3" s="68"/>
      <c r="P3" s="68"/>
      <c r="Q3" s="68"/>
      <c r="R3" s="68"/>
      <c r="S3" s="68"/>
      <c r="T3" s="68"/>
      <c r="U3" s="198"/>
      <c r="V3" s="199"/>
      <c r="W3" s="65"/>
      <c r="X3" s="65"/>
      <c r="Y3" s="65"/>
      <c r="Z3" s="65"/>
      <c r="AA3" s="65"/>
      <c r="AB3" s="65"/>
      <c r="AC3" s="65"/>
      <c r="AD3" s="65"/>
      <c r="AE3" s="65"/>
      <c r="AF3" s="66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155"/>
      <c r="AR3" s="68"/>
      <c r="AS3" s="68"/>
      <c r="AT3" s="68"/>
      <c r="AU3" s="68"/>
      <c r="AV3" s="68"/>
      <c r="AW3" s="68"/>
      <c r="AX3" s="68"/>
      <c r="AY3" s="68"/>
      <c r="AZ3" s="156"/>
    </row>
    <row r="4" spans="1:52" ht="12.75">
      <c r="A4" s="68"/>
      <c r="B4" s="64"/>
      <c r="C4" s="64"/>
      <c r="D4" s="64"/>
      <c r="E4" s="64"/>
      <c r="F4" s="64"/>
      <c r="G4" s="64"/>
      <c r="H4" s="64"/>
      <c r="I4" s="64"/>
      <c r="J4" s="64"/>
      <c r="K4" s="112" t="str">
        <f>+'Input sheets'!T4</f>
        <v>RP-2001-0032</v>
      </c>
      <c r="L4" s="68"/>
      <c r="M4" s="64"/>
      <c r="N4" s="64"/>
      <c r="O4" s="64"/>
      <c r="P4" s="64"/>
      <c r="Q4" s="64"/>
      <c r="R4" s="64"/>
      <c r="S4" s="64"/>
      <c r="T4" s="64"/>
      <c r="U4" s="68"/>
      <c r="V4" s="112" t="str">
        <f>+'Input sheets'!AE4</f>
        <v>RP-2001-0032</v>
      </c>
      <c r="W4" s="68"/>
      <c r="X4" s="64"/>
      <c r="Y4" s="64"/>
      <c r="Z4" s="64"/>
      <c r="AA4" s="64"/>
      <c r="AB4" s="64"/>
      <c r="AC4" s="64"/>
      <c r="AD4" s="112" t="str">
        <f>+'Input sheets'!AO4</f>
        <v>RP-2001-0032</v>
      </c>
      <c r="AE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112" t="str">
        <f>+'Input sheets'!AZ4</f>
        <v>RP-2001-0032</v>
      </c>
      <c r="AR4" s="68"/>
      <c r="AS4" s="68"/>
      <c r="AT4" s="64"/>
      <c r="AU4" s="64"/>
      <c r="AV4" s="64"/>
      <c r="AW4" s="64"/>
      <c r="AX4" s="64"/>
      <c r="AZ4" s="112" t="str">
        <f>+'Input sheets'!I4</f>
        <v>RP-2001-0032</v>
      </c>
    </row>
    <row r="5" spans="1:52" ht="12.75">
      <c r="A5" s="64"/>
      <c r="B5" s="68"/>
      <c r="C5" s="68"/>
      <c r="D5" s="68"/>
      <c r="E5" s="68"/>
      <c r="F5" s="68"/>
      <c r="G5" s="68"/>
      <c r="H5" s="68"/>
      <c r="I5" s="68"/>
      <c r="J5" s="64"/>
      <c r="K5" s="112" t="str">
        <f>+'Input sheets'!T5</f>
        <v>Appendix C</v>
      </c>
      <c r="L5" s="64"/>
      <c r="M5" s="64"/>
      <c r="N5" s="64"/>
      <c r="O5" s="64"/>
      <c r="P5" s="64"/>
      <c r="Q5" s="64"/>
      <c r="R5" s="64"/>
      <c r="S5" s="64"/>
      <c r="T5" s="64"/>
      <c r="U5" s="68"/>
      <c r="V5" s="112" t="str">
        <f>K5</f>
        <v>Appendix C</v>
      </c>
      <c r="W5" s="64"/>
      <c r="X5" s="64"/>
      <c r="Y5" s="64"/>
      <c r="Z5" s="64"/>
      <c r="AA5" s="64"/>
      <c r="AB5" s="64"/>
      <c r="AC5" s="64"/>
      <c r="AD5" s="112" t="str">
        <f>K5</f>
        <v>Appendix C</v>
      </c>
      <c r="AE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112" t="str">
        <f>K5</f>
        <v>Appendix C</v>
      </c>
      <c r="AR5" s="64"/>
      <c r="AS5" s="64"/>
      <c r="AT5" s="64"/>
      <c r="AU5" s="64"/>
      <c r="AV5" s="64"/>
      <c r="AW5" s="64"/>
      <c r="AX5" s="64"/>
      <c r="AZ5" s="112" t="str">
        <f>+'Input sheets'!I5</f>
        <v>Appendix C</v>
      </c>
    </row>
    <row r="6" spans="1:52" ht="12.75">
      <c r="A6" s="64"/>
      <c r="B6" s="64"/>
      <c r="J6" s="64"/>
      <c r="K6" s="81" t="s">
        <v>95</v>
      </c>
      <c r="L6" s="64"/>
      <c r="M6" s="64"/>
      <c r="N6" s="64"/>
      <c r="O6" s="64"/>
      <c r="P6" s="64"/>
      <c r="Q6" s="64"/>
      <c r="R6" s="64"/>
      <c r="S6" s="64"/>
      <c r="T6" s="64"/>
      <c r="U6" s="68"/>
      <c r="V6" s="112" t="str">
        <f>+'Input sheets'!AE6</f>
        <v>Page 2 of 5</v>
      </c>
      <c r="W6" s="64"/>
      <c r="X6" s="64"/>
      <c r="Y6" s="64"/>
      <c r="Z6" s="64"/>
      <c r="AA6" s="64"/>
      <c r="AB6" s="64"/>
      <c r="AC6" s="64"/>
      <c r="AD6" s="112" t="str">
        <f>+'Input sheets'!AO6</f>
        <v>Page 3 of 5</v>
      </c>
      <c r="AE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112" t="s">
        <v>91</v>
      </c>
      <c r="AR6" s="64"/>
      <c r="AS6" s="64"/>
      <c r="AT6" s="64"/>
      <c r="AU6" s="64"/>
      <c r="AV6" s="64"/>
      <c r="AW6" s="64"/>
      <c r="AX6" s="64"/>
      <c r="AZ6" s="112" t="s">
        <v>96</v>
      </c>
    </row>
    <row r="7" spans="1:52" ht="12.75">
      <c r="A7" s="83" t="str">
        <f>+'Input sheets'!J7</f>
        <v>ENBRIDGE CONSUMERS GAS </v>
      </c>
      <c r="B7" s="45"/>
      <c r="C7" s="153"/>
      <c r="D7" s="153"/>
      <c r="E7" s="153"/>
      <c r="F7" s="153"/>
      <c r="G7" s="153"/>
      <c r="H7" s="153"/>
      <c r="I7" s="153"/>
      <c r="J7" s="45"/>
      <c r="K7" s="153"/>
      <c r="L7" s="201" t="str">
        <f>+A7</f>
        <v>ENBRIDGE CONSUMERS GAS </v>
      </c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83" t="str">
        <f>+'Input sheets'!AF7</f>
        <v>ENBRIDGE CONSUMERS GAS </v>
      </c>
      <c r="X7" s="45"/>
      <c r="Y7" s="45"/>
      <c r="Z7" s="45"/>
      <c r="AA7" s="45"/>
      <c r="AB7" s="45"/>
      <c r="AC7" s="45"/>
      <c r="AD7" s="45"/>
      <c r="AE7" s="45"/>
      <c r="AF7" s="45"/>
      <c r="AG7" s="83" t="str">
        <f>+'Input sheets'!AP7</f>
        <v>ENBRIDGE CONSUMERS GAS </v>
      </c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200" t="str">
        <f>AG7</f>
        <v>ENBRIDGE CONSUMERS GAS </v>
      </c>
      <c r="AS7" s="200"/>
      <c r="AT7" s="200"/>
      <c r="AU7" s="200"/>
      <c r="AV7" s="200"/>
      <c r="AW7" s="200"/>
      <c r="AX7" s="200"/>
      <c r="AY7" s="200"/>
      <c r="AZ7" s="200"/>
    </row>
    <row r="8" spans="1:52" ht="12.75">
      <c r="A8" s="83" t="str">
        <f>+'Input sheets'!J8</f>
        <v>UTILITY RATE BASE</v>
      </c>
      <c r="B8" s="45"/>
      <c r="C8" s="153"/>
      <c r="D8" s="153"/>
      <c r="E8" s="153"/>
      <c r="F8" s="153"/>
      <c r="G8" s="153"/>
      <c r="H8" s="153"/>
      <c r="I8" s="153"/>
      <c r="J8" s="45"/>
      <c r="K8" s="45"/>
      <c r="L8" s="200" t="s">
        <v>3</v>
      </c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83" t="str">
        <f>+'Input sheets'!AF8</f>
        <v>CALCULATION OF TAXABLE INCOME AND INCOME TAX EXPENSE</v>
      </c>
      <c r="X8" s="45"/>
      <c r="Y8" s="45"/>
      <c r="Z8" s="45"/>
      <c r="AA8" s="45"/>
      <c r="AB8" s="45"/>
      <c r="AC8" s="45"/>
      <c r="AD8" s="45"/>
      <c r="AE8" s="45"/>
      <c r="AF8" s="45"/>
      <c r="AG8" s="83" t="str">
        <f>+'Input sheets'!AP8</f>
        <v>CAPITALIZATION AND COST OF CAPITAL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200" t="s">
        <v>1</v>
      </c>
      <c r="AS8" s="200"/>
      <c r="AT8" s="200"/>
      <c r="AU8" s="200"/>
      <c r="AV8" s="200"/>
      <c r="AW8" s="200"/>
      <c r="AX8" s="200"/>
      <c r="AY8" s="200"/>
      <c r="AZ8" s="200"/>
    </row>
    <row r="9" spans="1:52" ht="12.75">
      <c r="A9" s="83" t="str">
        <f>+'Input sheets'!J9</f>
        <v>FOR THE YEAR ENDING SEPTEMBER 30, 2002</v>
      </c>
      <c r="B9" s="45"/>
      <c r="C9" s="153"/>
      <c r="D9" s="153"/>
      <c r="E9" s="153"/>
      <c r="F9" s="153"/>
      <c r="G9" s="153"/>
      <c r="H9" s="153"/>
      <c r="I9" s="153"/>
      <c r="J9" s="45"/>
      <c r="K9" s="45"/>
      <c r="L9" s="200" t="str">
        <f>+A9</f>
        <v>FOR THE YEAR ENDING SEPTEMBER 30, 2002</v>
      </c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83" t="str">
        <f>+'Input sheets'!AF9</f>
        <v>FOR THE YEAR ENDING SEPTEMBER 30, 2002</v>
      </c>
      <c r="X9" s="45"/>
      <c r="Y9" s="45"/>
      <c r="Z9" s="45"/>
      <c r="AA9" s="45"/>
      <c r="AB9" s="45"/>
      <c r="AC9" s="45"/>
      <c r="AD9" s="45"/>
      <c r="AE9" s="45"/>
      <c r="AF9" s="45"/>
      <c r="AG9" s="83" t="str">
        <f>+'Input sheets'!AP9</f>
        <v>FOR THE YEAR ENDING SEPTEMBER 30, 2002</v>
      </c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200" t="str">
        <f>AG9</f>
        <v>FOR THE YEAR ENDING SEPTEMBER 30, 2002</v>
      </c>
      <c r="AS9" s="200"/>
      <c r="AT9" s="200"/>
      <c r="AU9" s="200"/>
      <c r="AV9" s="200"/>
      <c r="AW9" s="200"/>
      <c r="AX9" s="200"/>
      <c r="AY9" s="200"/>
      <c r="AZ9" s="200"/>
    </row>
    <row r="10" spans="1:52" ht="12.75">
      <c r="A10" s="83" t="str">
        <f>+'Input sheets'!J10</f>
        <v>($ Millions)</v>
      </c>
      <c r="B10" s="45"/>
      <c r="C10" s="153"/>
      <c r="D10" s="153"/>
      <c r="E10" s="153"/>
      <c r="F10" s="153"/>
      <c r="G10" s="153"/>
      <c r="H10" s="153"/>
      <c r="I10" s="153"/>
      <c r="J10" s="45"/>
      <c r="K10" s="45"/>
      <c r="L10" s="200" t="str">
        <f>+A10</f>
        <v>($ Millions)</v>
      </c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83" t="str">
        <f>+'Input sheets'!AF10</f>
        <v>($ Millions)</v>
      </c>
      <c r="X10" s="45"/>
      <c r="Y10" s="45"/>
      <c r="Z10" s="45"/>
      <c r="AA10" s="45"/>
      <c r="AB10" s="45"/>
      <c r="AC10" s="45"/>
      <c r="AD10" s="45"/>
      <c r="AE10" s="45"/>
      <c r="AF10" s="45"/>
      <c r="AG10" s="83" t="str">
        <f>+'Input sheets'!AP10</f>
        <v>($ Millions)</v>
      </c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200" t="s">
        <v>5</v>
      </c>
      <c r="AS10" s="200"/>
      <c r="AT10" s="200"/>
      <c r="AU10" s="200"/>
      <c r="AV10" s="200"/>
      <c r="AW10" s="200"/>
      <c r="AX10" s="200"/>
      <c r="AY10" s="200"/>
      <c r="AZ10" s="200"/>
    </row>
    <row r="11" spans="1:50" ht="12.75">
      <c r="A11" s="154"/>
      <c r="B11" s="154"/>
      <c r="C11" s="154"/>
      <c r="D11" s="154"/>
      <c r="E11" s="68"/>
      <c r="F11" s="68"/>
      <c r="G11" s="68"/>
      <c r="H11" s="68"/>
      <c r="I11" s="68"/>
      <c r="J11" s="68"/>
      <c r="K11" s="68"/>
      <c r="L11" s="64"/>
      <c r="M11" s="64"/>
      <c r="N11" s="64"/>
      <c r="O11" s="64"/>
      <c r="P11" s="64"/>
      <c r="Q11" s="64"/>
      <c r="R11" s="64"/>
      <c r="S11" s="77" t="s">
        <v>53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87"/>
      <c r="AS11" s="87"/>
      <c r="AT11" s="87"/>
      <c r="AU11" s="87"/>
      <c r="AV11" s="87"/>
      <c r="AW11" s="87"/>
      <c r="AX11" s="87"/>
    </row>
    <row r="12" spans="1:50" ht="12.75">
      <c r="A12" s="68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10" t="s">
        <v>6</v>
      </c>
      <c r="P12" s="64"/>
      <c r="Q12" s="77" t="s">
        <v>63</v>
      </c>
      <c r="R12" s="64"/>
      <c r="S12" s="110" t="s">
        <v>9</v>
      </c>
      <c r="T12" s="64"/>
      <c r="U12" s="77" t="s">
        <v>6</v>
      </c>
      <c r="V12" s="43"/>
      <c r="W12" s="64"/>
      <c r="X12" s="64"/>
      <c r="Y12" s="64"/>
      <c r="Z12" s="82"/>
      <c r="AA12" s="64"/>
      <c r="AB12" s="81"/>
      <c r="AC12" s="64"/>
      <c r="AD12" s="81"/>
      <c r="AE12" s="64"/>
      <c r="AF12" s="64"/>
      <c r="AG12" s="70" t="str">
        <f>+'Input sheets'!AP13</f>
        <v>PER COMPANY</v>
      </c>
      <c r="AH12" s="64"/>
      <c r="AI12" s="68"/>
      <c r="AJ12" s="84"/>
      <c r="AK12" s="84"/>
      <c r="AL12" s="85"/>
      <c r="AM12" s="68"/>
      <c r="AN12" s="64"/>
      <c r="AO12" s="64"/>
      <c r="AP12" s="64"/>
      <c r="AQ12" s="64"/>
      <c r="AR12" s="64"/>
      <c r="AS12" s="64"/>
      <c r="AT12" s="64"/>
      <c r="AU12" s="68"/>
      <c r="AV12" s="68"/>
      <c r="AW12" s="64"/>
      <c r="AX12" s="64"/>
    </row>
    <row r="13" spans="1:52" ht="12.75">
      <c r="A13" s="64"/>
      <c r="B13" s="64"/>
      <c r="C13" s="64"/>
      <c r="D13" s="64"/>
      <c r="E13" s="64"/>
      <c r="F13" s="64"/>
      <c r="G13" s="68"/>
      <c r="H13" s="88"/>
      <c r="I13" s="77" t="s">
        <v>53</v>
      </c>
      <c r="J13" s="64"/>
      <c r="K13" s="64"/>
      <c r="L13" s="64"/>
      <c r="M13" s="64"/>
      <c r="N13" s="64"/>
      <c r="O13" s="110" t="s">
        <v>123</v>
      </c>
      <c r="P13" s="196"/>
      <c r="Q13" s="77" t="s">
        <v>8</v>
      </c>
      <c r="R13" s="64"/>
      <c r="S13" s="110" t="s">
        <v>8</v>
      </c>
      <c r="T13" s="64"/>
      <c r="U13" s="110" t="s">
        <v>136</v>
      </c>
      <c r="V13" s="76"/>
      <c r="W13" s="106" t="str">
        <f>+'Input sheets'!AF14</f>
        <v>PER BOARD </v>
      </c>
      <c r="X13" s="68"/>
      <c r="Y13" s="68"/>
      <c r="Z13" s="68"/>
      <c r="AA13" s="68"/>
      <c r="AB13" s="68"/>
      <c r="AC13" s="68"/>
      <c r="AD13" s="68"/>
      <c r="AE13" s="68"/>
      <c r="AF13" s="68"/>
      <c r="AG13" s="86"/>
      <c r="AH13" s="64"/>
      <c r="AI13" s="77" t="str">
        <f>+'Input sheets'!AR14</f>
        <v>Capital</v>
      </c>
      <c r="AJ13" s="81"/>
      <c r="AK13" s="68"/>
      <c r="AL13" s="88"/>
      <c r="AM13" s="110" t="str">
        <f>+'Input sheets'!AV14</f>
        <v>Cost</v>
      </c>
      <c r="AN13" s="84"/>
      <c r="AO13" s="77" t="str">
        <f>+'Input sheets'!AX14</f>
        <v>Return</v>
      </c>
      <c r="AP13" s="84"/>
      <c r="AQ13" s="68"/>
      <c r="AR13" s="68"/>
      <c r="AS13" s="64"/>
      <c r="AT13" s="64"/>
      <c r="AU13" s="64"/>
      <c r="AV13" s="77" t="s">
        <v>6</v>
      </c>
      <c r="AX13" s="77" t="s">
        <v>77</v>
      </c>
      <c r="AZ13" s="77" t="s">
        <v>6</v>
      </c>
    </row>
    <row r="14" spans="1:52" ht="12.75">
      <c r="A14" s="64"/>
      <c r="B14" s="64"/>
      <c r="C14" s="64"/>
      <c r="D14" s="64"/>
      <c r="E14" s="110" t="s">
        <v>6</v>
      </c>
      <c r="F14" s="64"/>
      <c r="G14" s="77" t="s">
        <v>63</v>
      </c>
      <c r="H14" s="88"/>
      <c r="I14" s="110" t="s">
        <v>9</v>
      </c>
      <c r="J14" s="64"/>
      <c r="K14" s="77" t="s">
        <v>6</v>
      </c>
      <c r="L14" s="70" t="str">
        <f>+'Input sheets'!U15</f>
        <v>Revenue</v>
      </c>
      <c r="M14" s="64"/>
      <c r="N14" s="64"/>
      <c r="O14" s="64"/>
      <c r="P14" s="64"/>
      <c r="Q14" s="68"/>
      <c r="R14" s="64"/>
      <c r="S14" s="64"/>
      <c r="T14" s="64"/>
      <c r="U14" s="64"/>
      <c r="V14" s="76"/>
      <c r="W14" s="68"/>
      <c r="X14" s="68"/>
      <c r="Y14" s="68"/>
      <c r="Z14" s="111" t="str">
        <f>+'Input sheets'!AI15</f>
        <v>Federal</v>
      </c>
      <c r="AA14" s="68"/>
      <c r="AB14" s="111" t="str">
        <f>+'Input sheets'!AK15</f>
        <v>Ontario</v>
      </c>
      <c r="AC14" s="68"/>
      <c r="AD14" s="111" t="str">
        <f>+'Input sheets'!AM15</f>
        <v>Total</v>
      </c>
      <c r="AE14" s="68"/>
      <c r="AF14" s="68"/>
      <c r="AG14" s="64"/>
      <c r="AH14" s="64"/>
      <c r="AI14" s="77" t="str">
        <f>+'Input sheets'!AR15</f>
        <v>Structure</v>
      </c>
      <c r="AJ14" s="81"/>
      <c r="AK14" s="77" t="str">
        <f>+'Input sheets'!AT15</f>
        <v>Ratios</v>
      </c>
      <c r="AL14" s="88"/>
      <c r="AM14" s="110" t="str">
        <f>+'Input sheets'!AV15</f>
        <v>Rate</v>
      </c>
      <c r="AN14" s="81"/>
      <c r="AO14" s="77" t="str">
        <f>+'Input sheets'!AX15</f>
        <v>Component</v>
      </c>
      <c r="AP14" s="81"/>
      <c r="AQ14" s="77" t="str">
        <f>+'Input sheets'!AZ15</f>
        <v>Return</v>
      </c>
      <c r="AR14" s="64"/>
      <c r="AS14" s="64"/>
      <c r="AT14" s="64"/>
      <c r="AU14" s="64"/>
      <c r="AV14" s="77" t="s">
        <v>7</v>
      </c>
      <c r="AX14" s="77" t="s">
        <v>78</v>
      </c>
      <c r="AZ14" s="110" t="s">
        <v>9</v>
      </c>
    </row>
    <row r="15" spans="1:52" ht="12.75">
      <c r="A15" s="64"/>
      <c r="B15" s="64"/>
      <c r="C15" s="64"/>
      <c r="D15" s="64"/>
      <c r="E15" s="110" t="s">
        <v>123</v>
      </c>
      <c r="F15" s="196"/>
      <c r="G15" s="77" t="s">
        <v>8</v>
      </c>
      <c r="H15" s="64"/>
      <c r="I15" s="77" t="s">
        <v>8</v>
      </c>
      <c r="J15" s="64"/>
      <c r="K15" s="110" t="s">
        <v>9</v>
      </c>
      <c r="L15" s="78" t="str">
        <f>+'Input sheets'!U16</f>
        <v>   Gas Sales</v>
      </c>
      <c r="M15" s="64"/>
      <c r="N15" s="64"/>
      <c r="O15" s="169">
        <f>+'Input sheets'!X16</f>
        <v>1529.3</v>
      </c>
      <c r="P15" s="169"/>
      <c r="Q15" s="169">
        <f>+'Input sheets'!Z16</f>
        <v>0</v>
      </c>
      <c r="R15" s="170"/>
      <c r="S15" s="169"/>
      <c r="T15" s="170"/>
      <c r="U15" s="169">
        <f>+'Input sheets'!AD16</f>
        <v>1529.3</v>
      </c>
      <c r="V15" s="103"/>
      <c r="W15" s="68"/>
      <c r="X15" s="68"/>
      <c r="Y15" s="68"/>
      <c r="Z15" s="111"/>
      <c r="AA15" s="68"/>
      <c r="AB15" s="111"/>
      <c r="AC15" s="68"/>
      <c r="AD15" s="111"/>
      <c r="AE15" s="68"/>
      <c r="AF15" s="68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73"/>
      <c r="AR15" s="68"/>
      <c r="AS15" s="68"/>
      <c r="AT15" s="68"/>
      <c r="AU15" s="68"/>
      <c r="AV15" s="68"/>
      <c r="AW15" s="68"/>
      <c r="AX15" s="68"/>
      <c r="AZ15" s="68"/>
    </row>
    <row r="16" spans="1:52" ht="12.75">
      <c r="A16" s="64"/>
      <c r="B16" s="64"/>
      <c r="C16" s="64"/>
      <c r="D16" s="64"/>
      <c r="E16" s="89"/>
      <c r="F16" s="64"/>
      <c r="G16" s="89"/>
      <c r="H16" s="64"/>
      <c r="I16" s="64"/>
      <c r="J16" s="64"/>
      <c r="K16" s="64"/>
      <c r="L16" s="78" t="str">
        <f>+'Input sheets'!U17</f>
        <v>   Transportation of Gas</v>
      </c>
      <c r="M16" s="64"/>
      <c r="N16" s="64"/>
      <c r="O16" s="169">
        <f>+'Input sheets'!X17</f>
        <v>697.4</v>
      </c>
      <c r="P16" s="169"/>
      <c r="Q16" s="169"/>
      <c r="R16" s="170"/>
      <c r="S16" s="169"/>
      <c r="T16" s="170"/>
      <c r="U16" s="169">
        <f>+'Input sheets'!AD17</f>
        <v>697.4</v>
      </c>
      <c r="V16" s="103"/>
      <c r="W16" s="68" t="str">
        <f>+'Input sheets'!AF17</f>
        <v>Utility Income Before Taxes</v>
      </c>
      <c r="X16" s="68"/>
      <c r="Y16" s="68"/>
      <c r="Z16" s="178">
        <f>+'Input sheets'!AI17</f>
        <v>324.80000000000007</v>
      </c>
      <c r="AA16" s="178"/>
      <c r="AB16" s="178">
        <f>+'Input sheets'!AK17</f>
        <v>324.80000000000007</v>
      </c>
      <c r="AC16" s="178"/>
      <c r="AD16" s="178"/>
      <c r="AE16" s="68"/>
      <c r="AF16" s="68"/>
      <c r="AG16" s="64" t="str">
        <f>+'Input sheets'!AP17</f>
        <v>Long-term Debt</v>
      </c>
      <c r="AH16" s="64"/>
      <c r="AI16" s="169">
        <f>+'Input sheets'!AR17</f>
        <v>1844.9</v>
      </c>
      <c r="AJ16" s="64"/>
      <c r="AK16" s="91">
        <f>+'Input sheets'!AT17</f>
        <v>0.609219694217878</v>
      </c>
      <c r="AL16" s="91"/>
      <c r="AM16" s="91">
        <f>+'Input sheets'!AV17</f>
        <v>0.0788</v>
      </c>
      <c r="AN16" s="91"/>
      <c r="AO16" s="91">
        <f>+'Input sheets'!AX17</f>
        <v>0.04800651190436878</v>
      </c>
      <c r="AP16" s="91"/>
      <c r="AQ16" s="92">
        <f>+'Input sheets'!AZ17</f>
        <v>145.37812</v>
      </c>
      <c r="AR16" s="68" t="str">
        <f>+'Input sheets'!A18</f>
        <v>Utility Income</v>
      </c>
      <c r="AS16" s="64"/>
      <c r="AT16" s="64"/>
      <c r="AU16" s="64"/>
      <c r="AV16" s="178">
        <f>+'Input sheets'!E18</f>
        <v>239.00000000000006</v>
      </c>
      <c r="AW16" s="169"/>
      <c r="AX16" s="178">
        <f>+'Input sheets'!G18</f>
        <v>243.70000000000005</v>
      </c>
      <c r="AY16" s="183"/>
      <c r="AZ16" s="178">
        <f>+'Input sheets'!I18</f>
        <v>243.70000000000005</v>
      </c>
    </row>
    <row r="17" spans="1:52" ht="12.75">
      <c r="A17" s="70" t="str">
        <f>+'Input sheets'!J17</f>
        <v>Utility Plant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78" t="str">
        <f>+'Input sheets'!U18</f>
        <v>   Transmission, Compression and Storage</v>
      </c>
      <c r="M17" s="64"/>
      <c r="N17" s="64"/>
      <c r="O17" s="169">
        <f>+'Input sheets'!X18</f>
        <v>2.3</v>
      </c>
      <c r="P17" s="169"/>
      <c r="Q17" s="169"/>
      <c r="R17" s="169"/>
      <c r="S17" s="169"/>
      <c r="T17" s="169"/>
      <c r="U17" s="169">
        <f>+'Input sheets'!AD18</f>
        <v>2.3</v>
      </c>
      <c r="V17" s="103"/>
      <c r="W17" s="68" t="str">
        <f>+'Input sheets'!AF18</f>
        <v>Plus Depreciation &amp; amortization</v>
      </c>
      <c r="X17" s="68"/>
      <c r="Y17" s="68"/>
      <c r="Z17" s="178">
        <f>+'Input sheets'!AI18</f>
        <v>159.8</v>
      </c>
      <c r="AA17" s="178"/>
      <c r="AB17" s="178">
        <f>+'Input sheets'!AK18</f>
        <v>159.8</v>
      </c>
      <c r="AC17" s="178"/>
      <c r="AD17" s="178"/>
      <c r="AE17" s="68"/>
      <c r="AF17" s="68"/>
      <c r="AG17" s="64" t="str">
        <f>+'Input sheets'!AP18</f>
        <v>Short-term Debt</v>
      </c>
      <c r="AH17" s="64"/>
      <c r="AI17" s="169">
        <f>+'Input sheets'!AR18</f>
        <v>24.4</v>
      </c>
      <c r="AJ17" s="64"/>
      <c r="AK17" s="91">
        <f>+'Input sheets'!AT18</f>
        <v>0.008057325892414886</v>
      </c>
      <c r="AL17" s="91"/>
      <c r="AM17" s="91">
        <f>+'Input sheets'!AV18</f>
        <v>0.0665</v>
      </c>
      <c r="AN17" s="91"/>
      <c r="AO17" s="91">
        <f>+'Input sheets'!AX18</f>
        <v>0.0005358121718455899</v>
      </c>
      <c r="AP17" s="91"/>
      <c r="AQ17" s="92">
        <f>+'Input sheets'!AZ18</f>
        <v>1.6226</v>
      </c>
      <c r="AR17" s="68"/>
      <c r="AS17" s="68"/>
      <c r="AT17" s="68"/>
      <c r="AU17" s="68"/>
      <c r="AV17" s="178"/>
      <c r="AW17" s="178"/>
      <c r="AX17" s="178"/>
      <c r="AY17" s="183"/>
      <c r="AZ17" s="178"/>
    </row>
    <row r="18" spans="1:52" ht="15.75">
      <c r="A18" s="78" t="str">
        <f>+'Input sheets'!J18</f>
        <v>   Gross Plant at Cost</v>
      </c>
      <c r="B18" s="64"/>
      <c r="C18" s="64"/>
      <c r="D18" s="64"/>
      <c r="E18" s="169">
        <f>+'Input sheets'!N18</f>
        <v>3742.1</v>
      </c>
      <c r="F18" s="170"/>
      <c r="G18" s="169">
        <f>+'Input sheets'!P18</f>
        <v>-9.8</v>
      </c>
      <c r="H18" s="169"/>
      <c r="I18" s="169"/>
      <c r="J18" s="175"/>
      <c r="K18" s="169">
        <f>+'Input sheets'!T18</f>
        <v>3732.2999999999997</v>
      </c>
      <c r="L18" s="78"/>
      <c r="M18" s="64"/>
      <c r="N18" s="64"/>
      <c r="O18" s="169"/>
      <c r="P18" s="169"/>
      <c r="Q18" s="169"/>
      <c r="R18" s="169"/>
      <c r="S18" s="169"/>
      <c r="T18" s="169"/>
      <c r="U18" s="169"/>
      <c r="V18" s="103"/>
      <c r="W18" s="184" t="str">
        <f>'Input sheets'!AF20</f>
        <v>    Amortization adjustment for non-util capital</v>
      </c>
      <c r="X18" s="68"/>
      <c r="Y18" s="68"/>
      <c r="Z18" s="179">
        <f>'Input sheets'!AI20</f>
        <v>-0.2</v>
      </c>
      <c r="AA18" s="180"/>
      <c r="AB18" s="179">
        <f>'Input sheets'!AK20</f>
        <v>-0.2</v>
      </c>
      <c r="AC18" s="180"/>
      <c r="AD18" s="178"/>
      <c r="AE18" s="68"/>
      <c r="AF18" s="68"/>
      <c r="AG18" s="64" t="str">
        <f>+'Input sheets'!AP21</f>
        <v>Preference Capital</v>
      </c>
      <c r="AH18" s="64"/>
      <c r="AI18" s="169">
        <f>+'Input sheets'!AR21</f>
        <v>99.1</v>
      </c>
      <c r="AJ18" s="64"/>
      <c r="AK18" s="91">
        <f>+'Input sheets'!AT21</f>
        <v>0.03272463098107849</v>
      </c>
      <c r="AL18" s="91"/>
      <c r="AM18" s="91">
        <f>+'Input sheets'!AV21</f>
        <v>0.05</v>
      </c>
      <c r="AN18" s="91"/>
      <c r="AO18" s="91">
        <f>+'Input sheets'!AX21</f>
        <v>0.0016362315490539244</v>
      </c>
      <c r="AP18" s="91"/>
      <c r="AQ18" s="92">
        <f>+'Input sheets'!AZ21</f>
        <v>4.955</v>
      </c>
      <c r="AR18" s="68" t="str">
        <f>+'Input sheets'!A23</f>
        <v>Utility Rate Base</v>
      </c>
      <c r="AS18" s="64"/>
      <c r="AT18" s="64"/>
      <c r="AU18" s="64"/>
      <c r="AV18" s="189">
        <f>+'Input sheets'!E23</f>
        <v>3028.3</v>
      </c>
      <c r="AW18" s="169"/>
      <c r="AX18" s="189">
        <f>+'Input sheets'!G23</f>
        <v>3019.3</v>
      </c>
      <c r="AY18" s="183"/>
      <c r="AZ18" s="189">
        <f>+'Input sheets'!I23</f>
        <v>3019.3</v>
      </c>
    </row>
    <row r="19" spans="1:52" ht="15.75">
      <c r="A19" s="78" t="str">
        <f>+'Input sheets'!J21</f>
        <v>   Accumulated Depreciation</v>
      </c>
      <c r="B19" s="64"/>
      <c r="C19" s="64"/>
      <c r="D19" s="64"/>
      <c r="E19" s="169">
        <f>+'Input sheets'!N21</f>
        <v>-1152.6</v>
      </c>
      <c r="F19" s="170"/>
      <c r="G19" s="169">
        <f>'Input sheets'!P21</f>
        <v>0.6</v>
      </c>
      <c r="H19" s="169"/>
      <c r="I19" s="169"/>
      <c r="J19" s="175"/>
      <c r="K19" s="169">
        <f>+'Input sheets'!T21</f>
        <v>-1152</v>
      </c>
      <c r="L19" s="78" t="str">
        <f>+'Input sheets'!U22</f>
        <v>   Other Operating Revenue</v>
      </c>
      <c r="M19" s="64"/>
      <c r="N19" s="64"/>
      <c r="O19" s="169">
        <f>+'Input sheets'!X22</f>
        <v>18.1</v>
      </c>
      <c r="P19" s="169"/>
      <c r="Q19" s="169">
        <f>+'Input sheets'!Z22</f>
        <v>0.1</v>
      </c>
      <c r="R19" s="170"/>
      <c r="S19" s="169"/>
      <c r="T19" s="171"/>
      <c r="U19" s="169">
        <f>+'Input sheets'!AD22</f>
        <v>18.200000000000003</v>
      </c>
      <c r="V19" s="103"/>
      <c r="W19" s="185" t="s">
        <v>105</v>
      </c>
      <c r="X19" s="68"/>
      <c r="Y19" s="68"/>
      <c r="Z19" s="178">
        <f>+'Input sheets'!AI21</f>
        <v>7.4</v>
      </c>
      <c r="AA19" s="178"/>
      <c r="AB19" s="178">
        <f>+'Input sheets'!AK21</f>
        <v>7.4</v>
      </c>
      <c r="AC19" s="178"/>
      <c r="AD19" s="178"/>
      <c r="AE19" s="68"/>
      <c r="AF19" s="68"/>
      <c r="AG19" s="64"/>
      <c r="AH19" s="64"/>
      <c r="AI19" s="169"/>
      <c r="AJ19" s="64"/>
      <c r="AK19" s="91"/>
      <c r="AL19" s="91"/>
      <c r="AM19" s="91"/>
      <c r="AN19" s="91"/>
      <c r="AO19" s="91"/>
      <c r="AP19" s="91"/>
      <c r="AQ19" s="92"/>
      <c r="AR19" s="68"/>
      <c r="AS19" s="64"/>
      <c r="AT19" s="64"/>
      <c r="AU19" s="64"/>
      <c r="AV19" s="190"/>
      <c r="AW19" s="169"/>
      <c r="AX19" s="190"/>
      <c r="AY19" s="183"/>
      <c r="AZ19" s="190"/>
    </row>
    <row r="20" spans="1:52" ht="15.75">
      <c r="A20" s="78"/>
      <c r="B20" s="64"/>
      <c r="C20" s="64"/>
      <c r="D20" s="64"/>
      <c r="E20" s="169"/>
      <c r="F20" s="170"/>
      <c r="G20" s="169"/>
      <c r="H20" s="169"/>
      <c r="I20" s="169"/>
      <c r="J20" s="175"/>
      <c r="K20" s="169"/>
      <c r="L20" s="78" t="str">
        <f>+'Input sheets'!U23</f>
        <v>   Other Income</v>
      </c>
      <c r="M20" s="64"/>
      <c r="N20" s="64"/>
      <c r="O20" s="169">
        <f>+'Input sheets'!X23</f>
        <v>0.8</v>
      </c>
      <c r="P20" s="169"/>
      <c r="Q20" s="169"/>
      <c r="R20" s="170"/>
      <c r="S20" s="169"/>
      <c r="T20" s="170"/>
      <c r="U20" s="169">
        <f>+'Input sheets'!AD23</f>
        <v>0.8</v>
      </c>
      <c r="V20" s="103"/>
      <c r="W20" s="68" t="s">
        <v>104</v>
      </c>
      <c r="X20" s="68"/>
      <c r="Y20" s="68"/>
      <c r="Z20" s="178">
        <f>+'Input sheets'!AI22</f>
        <v>1.1</v>
      </c>
      <c r="AA20" s="178"/>
      <c r="AB20" s="178">
        <f>+'Input sheets'!AK22</f>
        <v>1.1</v>
      </c>
      <c r="AC20" s="178"/>
      <c r="AD20" s="178"/>
      <c r="AE20" s="68"/>
      <c r="AF20" s="68"/>
      <c r="AG20" s="64" t="str">
        <f>+'Input sheets'!AP23</f>
        <v>Common Equity</v>
      </c>
      <c r="AH20" s="64"/>
      <c r="AI20" s="169">
        <f>+'Input sheets'!AR23</f>
        <v>1059.9</v>
      </c>
      <c r="AJ20" s="64"/>
      <c r="AK20" s="91">
        <f>+'Input sheets'!AT23</f>
        <v>0.35</v>
      </c>
      <c r="AL20" s="91"/>
      <c r="AM20" s="91">
        <f>+'Input sheets'!AV23</f>
        <v>0.1125</v>
      </c>
      <c r="AN20" s="91"/>
      <c r="AO20" s="91">
        <f>+'Input sheets'!AX23</f>
        <v>0.039375</v>
      </c>
      <c r="AP20" s="91"/>
      <c r="AQ20" s="92">
        <f>+'Input sheets'!AZ23</f>
        <v>119.2393125</v>
      </c>
      <c r="AR20" s="68"/>
      <c r="AS20" s="64"/>
      <c r="AT20" s="64"/>
      <c r="AU20" s="64"/>
      <c r="AV20" s="190"/>
      <c r="AW20" s="169"/>
      <c r="AX20" s="190"/>
      <c r="AY20" s="183"/>
      <c r="AZ20" s="190"/>
    </row>
    <row r="21" spans="1:52" ht="13.5" thickBot="1">
      <c r="A21" s="78" t="str">
        <f>+'Input sheets'!J24</f>
        <v>Net Utility Plant</v>
      </c>
      <c r="B21" s="64"/>
      <c r="C21" s="64"/>
      <c r="D21" s="64"/>
      <c r="E21" s="172">
        <f>SUM(E18:E19)</f>
        <v>2589.5</v>
      </c>
      <c r="F21" s="170"/>
      <c r="G21" s="172">
        <f>SUM(G18:G19)</f>
        <v>-9.200000000000001</v>
      </c>
      <c r="H21" s="169"/>
      <c r="I21" s="172">
        <f>+'Input sheets'!R24</f>
        <v>0</v>
      </c>
      <c r="J21" s="169"/>
      <c r="K21" s="172">
        <f>SUM(K18:K19)</f>
        <v>2580.2999999999997</v>
      </c>
      <c r="L21" s="70" t="s">
        <v>32</v>
      </c>
      <c r="M21" s="64"/>
      <c r="N21" s="64"/>
      <c r="O21" s="172">
        <f>+'Input sheets'!X24</f>
        <v>2247.9</v>
      </c>
      <c r="P21" s="169"/>
      <c r="Q21" s="172">
        <f>+'Input sheets'!Z24</f>
        <v>0.1</v>
      </c>
      <c r="R21" s="170"/>
      <c r="S21" s="172">
        <f>+'Input sheets'!AB24</f>
        <v>0</v>
      </c>
      <c r="T21" s="170"/>
      <c r="U21" s="172">
        <f>+'Input sheets'!AD24</f>
        <v>2248</v>
      </c>
      <c r="V21" s="103"/>
      <c r="W21" s="68"/>
      <c r="X21" s="68"/>
      <c r="Y21" s="68"/>
      <c r="Z21" s="181">
        <f>+'Input sheets'!AI23</f>
        <v>492.9000000000001</v>
      </c>
      <c r="AA21" s="178"/>
      <c r="AB21" s="181">
        <f>+'Input sheets'!AK23</f>
        <v>492.9000000000001</v>
      </c>
      <c r="AC21" s="178"/>
      <c r="AD21" s="178"/>
      <c r="AE21" s="68"/>
      <c r="AF21" s="68"/>
      <c r="AG21" s="64"/>
      <c r="AH21" s="64"/>
      <c r="AI21" s="177">
        <f>+'Input sheets'!AR24</f>
        <v>3028.3</v>
      </c>
      <c r="AJ21" s="65"/>
      <c r="AK21" s="97">
        <f>+'Input sheets'!AT24</f>
        <v>1.0000016510913714</v>
      </c>
      <c r="AL21" s="98"/>
      <c r="AM21" s="65"/>
      <c r="AN21" s="65"/>
      <c r="AO21" s="97">
        <f>+'Input sheets'!AX24</f>
        <v>0.0894535556252683</v>
      </c>
      <c r="AP21" s="65"/>
      <c r="AQ21" s="177">
        <f>+'Input sheets'!AZ24</f>
        <v>270.99503250000004</v>
      </c>
      <c r="AR21" s="64"/>
      <c r="AS21" s="64"/>
      <c r="AT21" s="64"/>
      <c r="AU21" s="64"/>
      <c r="AV21" s="169"/>
      <c r="AW21" s="169"/>
      <c r="AX21" s="169"/>
      <c r="AY21" s="183"/>
      <c r="AZ21" s="169"/>
    </row>
    <row r="22" spans="1:52" ht="13.5" thickTop="1">
      <c r="A22" s="64"/>
      <c r="B22" s="64"/>
      <c r="C22" s="64"/>
      <c r="D22" s="64"/>
      <c r="E22" s="169"/>
      <c r="F22" s="170"/>
      <c r="G22" s="169"/>
      <c r="H22" s="169"/>
      <c r="I22" s="169"/>
      <c r="J22" s="169"/>
      <c r="K22" s="169"/>
      <c r="L22" s="64"/>
      <c r="M22" s="64"/>
      <c r="N22" s="64"/>
      <c r="O22" s="169"/>
      <c r="P22" s="169"/>
      <c r="Q22" s="169"/>
      <c r="R22" s="170"/>
      <c r="S22" s="169"/>
      <c r="T22" s="170"/>
      <c r="U22" s="169"/>
      <c r="V22" s="103"/>
      <c r="W22" s="68"/>
      <c r="X22" s="68"/>
      <c r="Y22" s="68"/>
      <c r="Z22" s="178"/>
      <c r="AA22" s="178"/>
      <c r="AB22" s="178"/>
      <c r="AC22" s="178"/>
      <c r="AD22" s="178"/>
      <c r="AE22" s="68"/>
      <c r="AF22" s="68"/>
      <c r="AG22" s="64"/>
      <c r="AH22" s="64"/>
      <c r="AI22" s="169"/>
      <c r="AJ22" s="64"/>
      <c r="AK22" s="64"/>
      <c r="AL22" s="64"/>
      <c r="AM22" s="64"/>
      <c r="AN22" s="64"/>
      <c r="AO22" s="64"/>
      <c r="AP22" s="64"/>
      <c r="AQ22" s="169"/>
      <c r="AR22" s="68" t="str">
        <f>+'Input sheets'!A25</f>
        <v>Indicated Rate of Return</v>
      </c>
      <c r="AS22" s="64"/>
      <c r="AT22" s="64"/>
      <c r="AU22" s="64"/>
      <c r="AV22" s="107">
        <f>+'Input sheets'!E25</f>
        <v>0.07892216755275239</v>
      </c>
      <c r="AW22" s="194"/>
      <c r="AX22" s="107">
        <f>+'Input sheets'!G25</f>
        <v>0.08071407279833075</v>
      </c>
      <c r="AY22" s="195"/>
      <c r="AZ22" s="107">
        <f>+AZ16/AZ18</f>
        <v>0.08071407279833075</v>
      </c>
    </row>
    <row r="23" spans="1:52" ht="12.75">
      <c r="A23" s="64"/>
      <c r="B23" s="64"/>
      <c r="C23" s="64"/>
      <c r="D23" s="64"/>
      <c r="E23" s="169"/>
      <c r="F23" s="170"/>
      <c r="G23" s="169"/>
      <c r="H23" s="169"/>
      <c r="I23" s="169"/>
      <c r="J23" s="169"/>
      <c r="K23" s="169"/>
      <c r="L23" s="70" t="str">
        <f>+'Input sheets'!U26</f>
        <v>Costs and Expenses</v>
      </c>
      <c r="M23" s="64"/>
      <c r="N23" s="64"/>
      <c r="O23" s="169"/>
      <c r="P23" s="169"/>
      <c r="Q23" s="169"/>
      <c r="R23" s="170"/>
      <c r="S23" s="169"/>
      <c r="T23" s="170"/>
      <c r="U23" s="169"/>
      <c r="V23" s="103"/>
      <c r="W23" s="68" t="str">
        <f>+'Input sheets'!AF25</f>
        <v>Less Capital Cost Allowance</v>
      </c>
      <c r="X23" s="68"/>
      <c r="Y23" s="68"/>
      <c r="Z23" s="178">
        <f>+'Input sheets'!AI25</f>
        <v>113.9</v>
      </c>
      <c r="AA23" s="178"/>
      <c r="AB23" s="178">
        <f>+'Input sheets'!AK25</f>
        <v>113.7</v>
      </c>
      <c r="AC23" s="178"/>
      <c r="AD23" s="178"/>
      <c r="AE23" s="68"/>
      <c r="AF23" s="68"/>
      <c r="AG23" s="68"/>
      <c r="AH23" s="64"/>
      <c r="AI23" s="169"/>
      <c r="AJ23" s="64"/>
      <c r="AK23" s="64"/>
      <c r="AL23" s="64"/>
      <c r="AM23" s="64"/>
      <c r="AN23" s="64"/>
      <c r="AO23" s="64"/>
      <c r="AP23" s="64"/>
      <c r="AQ23" s="169"/>
      <c r="AR23" s="64"/>
      <c r="AS23" s="64"/>
      <c r="AT23" s="64"/>
      <c r="AU23" s="64"/>
      <c r="AV23" s="194"/>
      <c r="AW23" s="194"/>
      <c r="AX23" s="194"/>
      <c r="AY23" s="195"/>
      <c r="AZ23" s="194"/>
    </row>
    <row r="24" spans="1:52" ht="15.75">
      <c r="A24" s="70" t="str">
        <f>+'Input sheets'!J27</f>
        <v>Allowance for Working Capital</v>
      </c>
      <c r="B24" s="64"/>
      <c r="C24" s="64"/>
      <c r="D24" s="64"/>
      <c r="E24" s="169"/>
      <c r="F24" s="170"/>
      <c r="G24" s="169"/>
      <c r="H24" s="169"/>
      <c r="I24" s="169"/>
      <c r="J24" s="169"/>
      <c r="K24" s="169"/>
      <c r="L24" s="78" t="str">
        <f>+'Input sheets'!U27</f>
        <v>   Gas Costs</v>
      </c>
      <c r="M24" s="64"/>
      <c r="N24" s="64"/>
      <c r="O24" s="169">
        <f>+'Input sheets'!X27</f>
        <v>1454.9</v>
      </c>
      <c r="P24" s="169"/>
      <c r="Q24" s="169">
        <f>+'Input sheets'!Z27</f>
        <v>0</v>
      </c>
      <c r="R24" s="170"/>
      <c r="S24" s="169"/>
      <c r="T24" s="170"/>
      <c r="U24" s="169">
        <f>+'Input sheets'!AD27</f>
        <v>1454.9</v>
      </c>
      <c r="V24" s="103"/>
      <c r="W24" s="68" t="str">
        <f>+'Input sheets'!AF26</f>
        <v>Less Other Deductions</v>
      </c>
      <c r="X24" s="68"/>
      <c r="Y24" s="68"/>
      <c r="Z24" s="178">
        <f>+'Input sheets'!AI26</f>
        <v>31.4</v>
      </c>
      <c r="AA24" s="180"/>
      <c r="AB24" s="178">
        <f>+'Input sheets'!AK26</f>
        <v>31.4</v>
      </c>
      <c r="AC24" s="180"/>
      <c r="AD24" s="178"/>
      <c r="AE24" s="68"/>
      <c r="AF24" s="68"/>
      <c r="AG24" s="70" t="str">
        <f>+'Input sheets'!AP27</f>
        <v>PER SETTLEMENT</v>
      </c>
      <c r="AH24" s="64"/>
      <c r="AI24" s="178"/>
      <c r="AJ24" s="84"/>
      <c r="AK24" s="84"/>
      <c r="AL24" s="85"/>
      <c r="AM24" s="68"/>
      <c r="AN24" s="64"/>
      <c r="AO24" s="64"/>
      <c r="AP24" s="64"/>
      <c r="AQ24" s="169"/>
      <c r="AR24" s="68" t="str">
        <f>+'Input sheets'!A27</f>
        <v>Requested Rate of Return</v>
      </c>
      <c r="AS24" s="64"/>
      <c r="AT24" s="64"/>
      <c r="AU24" s="64"/>
      <c r="AV24" s="108">
        <f>+'Input sheets'!E27</f>
        <v>0.08953</v>
      </c>
      <c r="AW24" s="194"/>
      <c r="AX24" s="108">
        <f>+'Input sheets'!G27</f>
        <v>0.0826331907892558</v>
      </c>
      <c r="AY24" s="195"/>
      <c r="AZ24" s="108">
        <f>+'Input sheets'!I27</f>
        <v>0.0826331907892558</v>
      </c>
    </row>
    <row r="25" spans="1:52" ht="15.75">
      <c r="A25" s="78" t="str">
        <f>+'Input sheets'!J28</f>
        <v>   Accounts receivable merchandise finance plan</v>
      </c>
      <c r="B25" s="64"/>
      <c r="C25" s="64"/>
      <c r="D25" s="64"/>
      <c r="E25" s="169">
        <f>+'Input sheets'!N28</f>
        <v>2</v>
      </c>
      <c r="F25" s="170"/>
      <c r="G25" s="169"/>
      <c r="H25" s="169"/>
      <c r="I25" s="169"/>
      <c r="J25" s="169"/>
      <c r="K25" s="169">
        <f>+'Input sheets'!T28</f>
        <v>2</v>
      </c>
      <c r="L25" s="78" t="str">
        <f>+'Input sheets'!U28</f>
        <v>   Operations and Maintenance</v>
      </c>
      <c r="M25" s="64"/>
      <c r="N25" s="64"/>
      <c r="O25" s="169">
        <f>+'Input sheets'!X28</f>
        <v>270.6</v>
      </c>
      <c r="P25" s="169"/>
      <c r="Q25" s="169">
        <f>+'Input sheets'!Z28</f>
        <v>-10.7</v>
      </c>
      <c r="R25" s="170"/>
      <c r="S25" s="169"/>
      <c r="T25" s="171"/>
      <c r="U25" s="169">
        <f>+'Input sheets'!AD28</f>
        <v>259.90000000000003</v>
      </c>
      <c r="V25" s="103"/>
      <c r="W25" s="68"/>
      <c r="X25" s="68"/>
      <c r="Y25" s="68"/>
      <c r="Z25" s="181">
        <f>+'Input sheets'!AI27</f>
        <v>145.3</v>
      </c>
      <c r="AA25" s="178"/>
      <c r="AB25" s="181">
        <f>+'Input sheets'!AK27</f>
        <v>145.1</v>
      </c>
      <c r="AC25" s="178"/>
      <c r="AD25" s="178"/>
      <c r="AE25" s="68"/>
      <c r="AF25" s="68"/>
      <c r="AG25" s="86"/>
      <c r="AH25" s="64"/>
      <c r="AI25" s="186" t="str">
        <f>+'Input sheets'!AR28</f>
        <v>Capital</v>
      </c>
      <c r="AJ25" s="81"/>
      <c r="AK25" s="68"/>
      <c r="AL25" s="88"/>
      <c r="AM25" s="110" t="str">
        <f>+'Input sheets'!AV28</f>
        <v>Cost</v>
      </c>
      <c r="AN25" s="84"/>
      <c r="AO25" s="110" t="str">
        <f>+'Input sheets'!AX28</f>
        <v>Return</v>
      </c>
      <c r="AP25" s="84"/>
      <c r="AQ25" s="178"/>
      <c r="AR25" s="64"/>
      <c r="AS25" s="64"/>
      <c r="AT25" s="64"/>
      <c r="AU25" s="64"/>
      <c r="AV25" s="178"/>
      <c r="AW25" s="169"/>
      <c r="AX25" s="169"/>
      <c r="AY25" s="183"/>
      <c r="AZ25" s="169"/>
    </row>
    <row r="26" spans="1:52" ht="16.5" thickBot="1">
      <c r="A26" s="78" t="str">
        <f>+'Input sheets'!J29</f>
        <v>   Accounts receivable rebillable projects</v>
      </c>
      <c r="B26" s="64"/>
      <c r="C26" s="64"/>
      <c r="D26" s="64"/>
      <c r="E26" s="169">
        <f>+'Input sheets'!N29</f>
        <v>1.1</v>
      </c>
      <c r="F26" s="170"/>
      <c r="G26" s="169"/>
      <c r="H26" s="169"/>
      <c r="I26" s="169"/>
      <c r="J26" s="169"/>
      <c r="K26" s="169">
        <f>+'Input sheets'!T29</f>
        <v>1.1</v>
      </c>
      <c r="L26" s="78" t="str">
        <f>+'Input sheets'!U29</f>
        <v>   Depreciation and Amortization</v>
      </c>
      <c r="M26" s="64"/>
      <c r="N26" s="64"/>
      <c r="O26" s="169">
        <f>+'Input sheets'!X29</f>
        <v>160.3</v>
      </c>
      <c r="P26" s="169"/>
      <c r="Q26" s="169">
        <f>+'Input sheets'!Z29</f>
        <v>-0.5</v>
      </c>
      <c r="R26" s="170"/>
      <c r="S26" s="169"/>
      <c r="T26" s="171"/>
      <c r="U26" s="169">
        <f>+'Input sheets'!AD29</f>
        <v>159.8</v>
      </c>
      <c r="V26" s="103"/>
      <c r="W26" s="68" t="str">
        <f>+'Input sheets'!AF29</f>
        <v>Taxable Income</v>
      </c>
      <c r="X26" s="68"/>
      <c r="Y26" s="68"/>
      <c r="Z26" s="182">
        <f>+'Input sheets'!AI29</f>
        <v>347.6000000000001</v>
      </c>
      <c r="AA26" s="178"/>
      <c r="AB26" s="182">
        <f>+'Input sheets'!AK29</f>
        <v>347.80000000000007</v>
      </c>
      <c r="AC26" s="178"/>
      <c r="AD26" s="178"/>
      <c r="AE26" s="68"/>
      <c r="AF26" s="68"/>
      <c r="AG26" s="64"/>
      <c r="AH26" s="64"/>
      <c r="AI26" s="186" t="str">
        <f>+'Input sheets'!AR29</f>
        <v>Structure</v>
      </c>
      <c r="AJ26" s="81"/>
      <c r="AK26" s="77" t="str">
        <f>+'Input sheets'!AT29</f>
        <v>Ratios</v>
      </c>
      <c r="AL26" s="88"/>
      <c r="AM26" s="110" t="str">
        <f>+'Input sheets'!AV29</f>
        <v>Rate</v>
      </c>
      <c r="AN26" s="81"/>
      <c r="AO26" s="77" t="str">
        <f>+'Input sheets'!AX29</f>
        <v>Component</v>
      </c>
      <c r="AP26" s="81"/>
      <c r="AQ26" s="186" t="str">
        <f>+'Input sheets'!AZ29</f>
        <v>Return</v>
      </c>
      <c r="AR26" s="68" t="str">
        <f>+'Input sheets'!A29</f>
        <v>Excess/(Deficiency) in Rate of Return</v>
      </c>
      <c r="AS26" s="64"/>
      <c r="AT26" s="64"/>
      <c r="AU26" s="64"/>
      <c r="AV26" s="109">
        <f>+'Input sheets'!E29</f>
        <v>-0.010607832447247612</v>
      </c>
      <c r="AW26" s="194"/>
      <c r="AX26" s="109">
        <f>+'Input sheets'!G29</f>
        <v>-0.0019191179909250483</v>
      </c>
      <c r="AY26" s="195"/>
      <c r="AZ26" s="109">
        <f>+'Input sheets'!I29</f>
        <v>-0.0019191179909250483</v>
      </c>
    </row>
    <row r="27" spans="1:52" ht="16.5" thickTop="1">
      <c r="A27" s="78" t="str">
        <f>+'Input sheets'!J30</f>
        <v>   Materials and Supplies</v>
      </c>
      <c r="B27" s="64"/>
      <c r="C27" s="64"/>
      <c r="D27" s="64"/>
      <c r="E27" s="169">
        <f>+'Input sheets'!N30</f>
        <v>20.8</v>
      </c>
      <c r="F27" s="170"/>
      <c r="G27" s="169"/>
      <c r="H27" s="169"/>
      <c r="I27" s="163"/>
      <c r="J27" s="169"/>
      <c r="K27" s="169">
        <f>+'Input sheets'!T30</f>
        <v>20.8</v>
      </c>
      <c r="L27" s="17" t="str">
        <f>'Input sheets'!U30</f>
        <v>   Separation Expenses</v>
      </c>
      <c r="M27" s="6"/>
      <c r="N27" s="64"/>
      <c r="O27" s="169">
        <f>+'Input sheets'!X30</f>
        <v>0.2</v>
      </c>
      <c r="P27" s="169"/>
      <c r="Q27" s="169"/>
      <c r="R27" s="170"/>
      <c r="S27" s="169"/>
      <c r="T27" s="173"/>
      <c r="U27" s="169">
        <f>+'Input sheets'!AD30</f>
        <v>0.2</v>
      </c>
      <c r="V27" s="103"/>
      <c r="W27" s="68"/>
      <c r="X27" s="68"/>
      <c r="Y27" s="68"/>
      <c r="Z27" s="178"/>
      <c r="AA27" s="178"/>
      <c r="AB27" s="178"/>
      <c r="AC27" s="178"/>
      <c r="AD27" s="178"/>
      <c r="AE27" s="68"/>
      <c r="AF27" s="68"/>
      <c r="AG27" s="64"/>
      <c r="AH27" s="64"/>
      <c r="AI27" s="169"/>
      <c r="AJ27" s="64"/>
      <c r="AK27" s="64"/>
      <c r="AL27" s="64"/>
      <c r="AM27" s="64"/>
      <c r="AN27" s="64"/>
      <c r="AO27" s="64"/>
      <c r="AP27" s="64"/>
      <c r="AQ27" s="169"/>
      <c r="AR27" s="64"/>
      <c r="AS27" s="64"/>
      <c r="AT27" s="64"/>
      <c r="AU27" s="64"/>
      <c r="AV27" s="169"/>
      <c r="AW27" s="169"/>
      <c r="AX27" s="169"/>
      <c r="AY27" s="183"/>
      <c r="AZ27" s="169"/>
    </row>
    <row r="28" spans="1:52" ht="15.75">
      <c r="A28" s="78" t="str">
        <f>+'Input sheets'!J31</f>
        <v>   Mortgages Receivable</v>
      </c>
      <c r="B28" s="64"/>
      <c r="C28" s="64"/>
      <c r="D28" s="64"/>
      <c r="E28" s="169">
        <f>+'Input sheets'!N31</f>
        <v>0.9</v>
      </c>
      <c r="F28" s="170"/>
      <c r="G28" s="169"/>
      <c r="H28" s="169"/>
      <c r="I28" s="169"/>
      <c r="J28" s="169"/>
      <c r="K28" s="169">
        <f>+'Input sheets'!T31</f>
        <v>0.9</v>
      </c>
      <c r="L28" s="17" t="str">
        <f>'Input sheets'!U31</f>
        <v>   Recovery of 1/10th Not'l Def Tax Acc't</v>
      </c>
      <c r="M28" s="6"/>
      <c r="N28" s="64"/>
      <c r="O28" s="169">
        <f>+'Input sheets'!X31</f>
        <v>0</v>
      </c>
      <c r="P28" s="169"/>
      <c r="Q28" s="169"/>
      <c r="R28" s="170"/>
      <c r="S28" s="169"/>
      <c r="T28" s="171"/>
      <c r="U28" s="169">
        <f>+'Input sheets'!AD31</f>
        <v>0</v>
      </c>
      <c r="V28" s="103"/>
      <c r="W28" s="68"/>
      <c r="X28" s="68"/>
      <c r="Y28" s="68"/>
      <c r="Z28" s="178"/>
      <c r="AA28" s="178"/>
      <c r="AB28" s="178"/>
      <c r="AC28" s="178"/>
      <c r="AD28" s="178"/>
      <c r="AE28" s="68"/>
      <c r="AF28" s="68"/>
      <c r="AG28" s="64" t="str">
        <f>+'Input sheets'!AP31</f>
        <v>Long-term debt</v>
      </c>
      <c r="AH28" s="64"/>
      <c r="AI28" s="169">
        <f>+'Input sheets'!AR31</f>
        <v>1751.6</v>
      </c>
      <c r="AJ28" s="64"/>
      <c r="AK28" s="91">
        <f>+'Input sheets'!AT31</f>
        <v>0.5801344682542311</v>
      </c>
      <c r="AL28" s="91"/>
      <c r="AM28" s="91">
        <f>+'Input sheets'!AV31</f>
        <v>0.0794</v>
      </c>
      <c r="AN28" s="91"/>
      <c r="AO28" s="91">
        <f>+'Input sheets'!AX31</f>
        <v>0.04606267677938595</v>
      </c>
      <c r="AP28" s="91"/>
      <c r="AQ28" s="92">
        <f>+'Input sheets'!AZ31</f>
        <v>139.1</v>
      </c>
      <c r="AR28" s="68" t="str">
        <f>+'Input sheets'!A31</f>
        <v>Net Revenue Excess/(Deficiency)</v>
      </c>
      <c r="AS28" s="64"/>
      <c r="AT28" s="64"/>
      <c r="AU28" s="64"/>
      <c r="AV28" s="178">
        <f>+'Input sheets'!E31</f>
        <v>-32.123698999999945</v>
      </c>
      <c r="AW28" s="169"/>
      <c r="AX28" s="178">
        <f>+'Input sheets'!G31</f>
        <v>-5.734392949999999</v>
      </c>
      <c r="AY28" s="183"/>
      <c r="AZ28" s="178">
        <f>+'Input sheets'!I31</f>
        <v>-5.734392949999999</v>
      </c>
    </row>
    <row r="29" spans="1:52" ht="15.75">
      <c r="A29" s="78"/>
      <c r="B29" s="64"/>
      <c r="C29" s="64"/>
      <c r="D29" s="64"/>
      <c r="E29" s="169"/>
      <c r="F29" s="170"/>
      <c r="G29" s="169"/>
      <c r="H29" s="169"/>
      <c r="I29" s="169"/>
      <c r="J29" s="169"/>
      <c r="K29" s="169"/>
      <c r="L29" s="17" t="str">
        <f>'Input sheets'!U32</f>
        <v>   Committed line of credit costs</v>
      </c>
      <c r="M29" s="6"/>
      <c r="N29" s="64"/>
      <c r="O29" s="169">
        <f>+'Input sheets'!X32</f>
        <v>0</v>
      </c>
      <c r="P29" s="169"/>
      <c r="Q29" s="169">
        <f>+'Input sheets'!Z32</f>
        <v>0.9</v>
      </c>
      <c r="R29" s="170"/>
      <c r="S29" s="169"/>
      <c r="T29" s="171"/>
      <c r="U29" s="169">
        <f>+'Input sheets'!AD32</f>
        <v>0.9</v>
      </c>
      <c r="V29" s="103"/>
      <c r="W29" s="68"/>
      <c r="X29" s="68"/>
      <c r="Y29" s="68"/>
      <c r="Z29" s="178"/>
      <c r="AA29" s="178"/>
      <c r="AB29" s="178"/>
      <c r="AC29" s="178"/>
      <c r="AD29" s="178"/>
      <c r="AE29" s="68"/>
      <c r="AF29" s="68"/>
      <c r="AG29" s="64"/>
      <c r="AH29" s="64"/>
      <c r="AI29" s="169"/>
      <c r="AJ29" s="64"/>
      <c r="AK29" s="91"/>
      <c r="AL29" s="91"/>
      <c r="AM29" s="91"/>
      <c r="AN29" s="91"/>
      <c r="AO29" s="91"/>
      <c r="AP29" s="91"/>
      <c r="AQ29" s="92"/>
      <c r="AR29" s="68"/>
      <c r="AS29" s="64"/>
      <c r="AT29" s="64"/>
      <c r="AU29" s="64"/>
      <c r="AV29" s="178"/>
      <c r="AW29" s="169"/>
      <c r="AX29" s="178"/>
      <c r="AY29" s="183"/>
      <c r="AZ29" s="178"/>
    </row>
    <row r="30" spans="1:52" ht="15" customHeight="1">
      <c r="A30" s="78" t="str">
        <f>+'Input sheets'!J32</f>
        <v>   Customer security deposits</v>
      </c>
      <c r="B30" s="64"/>
      <c r="C30" s="64"/>
      <c r="D30" s="64"/>
      <c r="E30" s="169">
        <f>+'Input sheets'!N32</f>
        <v>-18.5</v>
      </c>
      <c r="F30" s="170"/>
      <c r="G30" s="169"/>
      <c r="H30" s="169"/>
      <c r="I30" s="169"/>
      <c r="J30" s="169"/>
      <c r="K30" s="169">
        <f>+'Input sheets'!T32</f>
        <v>-18.5</v>
      </c>
      <c r="L30" s="78" t="str">
        <f>+'Input sheets'!U33</f>
        <v>   Municipal and Other Taxes</v>
      </c>
      <c r="M30" s="64"/>
      <c r="N30" s="64"/>
      <c r="O30" s="169">
        <f>+'Input sheets'!X33</f>
        <v>47.7</v>
      </c>
      <c r="P30" s="169"/>
      <c r="Q30" s="169">
        <f>'Input sheets'!Z33</f>
        <v>-0.2</v>
      </c>
      <c r="R30" s="170"/>
      <c r="S30" s="169"/>
      <c r="T30" s="170"/>
      <c r="U30" s="169">
        <f>+'Input sheets'!AD33</f>
        <v>47.5</v>
      </c>
      <c r="V30" s="103"/>
      <c r="W30" s="68" t="str">
        <f>+'Input sheets'!AF32</f>
        <v>Income Tax Rates</v>
      </c>
      <c r="X30" s="68"/>
      <c r="Y30" s="68"/>
      <c r="Z30" s="107">
        <f>+'Input sheets'!AI32</f>
        <v>0.255</v>
      </c>
      <c r="AA30" s="178"/>
      <c r="AB30" s="107">
        <f>+'Input sheets'!AK32</f>
        <v>0.125</v>
      </c>
      <c r="AC30" s="178"/>
      <c r="AD30" s="178"/>
      <c r="AE30" s="68"/>
      <c r="AF30" s="68"/>
      <c r="AG30" s="64" t="str">
        <f>+'Input sheets'!AP33</f>
        <v>Short-term debt</v>
      </c>
      <c r="AH30" s="64"/>
      <c r="AI30" s="169">
        <f>+'Input sheets'!AR33</f>
        <v>111.8</v>
      </c>
      <c r="AJ30" s="65"/>
      <c r="AK30" s="91">
        <f>+'Input sheets'!AT33</f>
        <v>0.03702845030305038</v>
      </c>
      <c r="AL30" s="98"/>
      <c r="AM30" s="91">
        <f>+'Input sheets'!AV33</f>
        <v>0.0283</v>
      </c>
      <c r="AN30" s="98"/>
      <c r="AO30" s="91">
        <f>+'Input sheets'!AX33</f>
        <v>0.0010479051435763258</v>
      </c>
      <c r="AP30" s="98"/>
      <c r="AQ30" s="92">
        <f>+'Input sheets'!AZ33</f>
        <v>3.2</v>
      </c>
      <c r="AR30" s="78"/>
      <c r="AS30" s="64"/>
      <c r="AT30" s="64"/>
      <c r="AU30" s="64"/>
      <c r="AV30" s="169"/>
      <c r="AW30" s="169"/>
      <c r="AX30" s="169"/>
      <c r="AY30" s="183"/>
      <c r="AZ30" s="169"/>
    </row>
    <row r="31" spans="1:52" ht="15.75">
      <c r="A31" s="78"/>
      <c r="B31" s="64"/>
      <c r="C31" s="64"/>
      <c r="D31" s="64"/>
      <c r="E31" s="169"/>
      <c r="F31" s="170"/>
      <c r="G31" s="169"/>
      <c r="H31" s="169"/>
      <c r="I31" s="169"/>
      <c r="J31" s="169"/>
      <c r="K31" s="169"/>
      <c r="L31" s="42" t="str">
        <f>+'Input sheets'!U34</f>
        <v>   Total Costs and Expenses</v>
      </c>
      <c r="M31" s="64"/>
      <c r="N31" s="64"/>
      <c r="O31" s="172">
        <f>+'Input sheets'!X34</f>
        <v>1933.7</v>
      </c>
      <c r="P31" s="169"/>
      <c r="Q31" s="172">
        <f>+'Input sheets'!Z34</f>
        <v>-10.499999999999998</v>
      </c>
      <c r="R31" s="170"/>
      <c r="S31" s="172">
        <f>+'Input sheets'!AB34</f>
        <v>0</v>
      </c>
      <c r="T31" s="170"/>
      <c r="U31" s="172">
        <f>+'Input sheets'!AD34</f>
        <v>1923.2</v>
      </c>
      <c r="V31" s="103"/>
      <c r="W31" s="68" t="str">
        <f>+'Input sheets'!AF33</f>
        <v>Income Tax Amounts</v>
      </c>
      <c r="X31" s="68"/>
      <c r="Y31" s="68"/>
      <c r="Z31" s="178">
        <f>+'Input sheets'!AI33</f>
        <v>88.63800000000002</v>
      </c>
      <c r="AA31" s="178"/>
      <c r="AB31" s="178">
        <f>+'Input sheets'!AK33</f>
        <v>43.47500000000001</v>
      </c>
      <c r="AC31" s="178"/>
      <c r="AD31" s="178"/>
      <c r="AE31" s="93"/>
      <c r="AF31" s="68"/>
      <c r="AG31" s="64" t="str">
        <f>+'Input sheets'!AP36</f>
        <v>Preference shares</v>
      </c>
      <c r="AH31" s="64"/>
      <c r="AI31" s="169">
        <f>+'Input sheets'!AR36</f>
        <v>99.1</v>
      </c>
      <c r="AJ31" s="64"/>
      <c r="AK31" s="91">
        <f>+'Input sheets'!AT36</f>
        <v>0.03285217732587024</v>
      </c>
      <c r="AL31" s="91"/>
      <c r="AM31" s="91">
        <f>+'Input sheets'!AV36</f>
        <v>0.05</v>
      </c>
      <c r="AN31" s="91"/>
      <c r="AO31" s="91">
        <f>+'Input sheets'!AX36</f>
        <v>0.001712608866293512</v>
      </c>
      <c r="AP31" s="91"/>
      <c r="AQ31" s="92">
        <f>+'Input sheets'!AZ36</f>
        <v>4.955</v>
      </c>
      <c r="AR31" s="68" t="s">
        <v>107</v>
      </c>
      <c r="AS31" s="64"/>
      <c r="AT31" s="103"/>
      <c r="AU31" s="64"/>
      <c r="AV31" s="191">
        <f>+'Input sheets'!E34</f>
        <v>-19.68871874193545</v>
      </c>
      <c r="AW31" s="178"/>
      <c r="AX31" s="178">
        <f>+'Input sheets'!G34</f>
        <v>-3.514627937096774</v>
      </c>
      <c r="AY31" s="183"/>
      <c r="AZ31" s="178">
        <f>+'Input sheets'!I34</f>
        <v>-3.514627937096774</v>
      </c>
    </row>
    <row r="32" spans="1:52" ht="12.75">
      <c r="A32" s="78" t="str">
        <f>+'Input sheets'!J33</f>
        <v>   Prepaid Expenses</v>
      </c>
      <c r="B32" s="64"/>
      <c r="C32" s="64"/>
      <c r="D32" s="64"/>
      <c r="E32" s="169">
        <f>+'Input sheets'!N33</f>
        <v>1.4</v>
      </c>
      <c r="F32" s="170"/>
      <c r="G32" s="169"/>
      <c r="H32" s="169"/>
      <c r="I32" s="169"/>
      <c r="J32" s="169"/>
      <c r="K32" s="169">
        <f>+'Input sheets'!T33</f>
        <v>1.4</v>
      </c>
      <c r="M32" s="64"/>
      <c r="N32" s="64"/>
      <c r="O32" s="169"/>
      <c r="P32" s="169"/>
      <c r="Q32" s="169"/>
      <c r="R32" s="170"/>
      <c r="S32" s="169"/>
      <c r="T32" s="170"/>
      <c r="U32" s="169"/>
      <c r="V32" s="103"/>
      <c r="W32" s="68"/>
      <c r="X32" s="68"/>
      <c r="Y32" s="68"/>
      <c r="Z32" s="178"/>
      <c r="AA32" s="178"/>
      <c r="AB32" s="178"/>
      <c r="AC32" s="178"/>
      <c r="AD32" s="178"/>
      <c r="AE32" s="93"/>
      <c r="AF32" s="68"/>
      <c r="AG32" s="64"/>
      <c r="AH32" s="64"/>
      <c r="AI32" s="169"/>
      <c r="AJ32" s="64"/>
      <c r="AK32" s="91"/>
      <c r="AL32" s="91"/>
      <c r="AM32" s="91"/>
      <c r="AN32" s="91"/>
      <c r="AO32" s="91"/>
      <c r="AP32" s="91"/>
      <c r="AQ32" s="92"/>
      <c r="AR32" s="68"/>
      <c r="AS32" s="64"/>
      <c r="AT32" s="103"/>
      <c r="AU32" s="64"/>
      <c r="AV32" s="191"/>
      <c r="AW32" s="178"/>
      <c r="AX32" s="178"/>
      <c r="AY32" s="183"/>
      <c r="AZ32" s="178"/>
    </row>
    <row r="33" spans="1:52" ht="12.75">
      <c r="A33" s="78"/>
      <c r="B33" s="64"/>
      <c r="C33" s="64"/>
      <c r="D33" s="64"/>
      <c r="E33" s="169"/>
      <c r="F33" s="170"/>
      <c r="G33" s="169"/>
      <c r="H33" s="169"/>
      <c r="I33" s="169"/>
      <c r="J33" s="169"/>
      <c r="K33" s="169"/>
      <c r="M33" s="64"/>
      <c r="N33" s="64"/>
      <c r="O33" s="169"/>
      <c r="P33" s="169"/>
      <c r="Q33" s="169"/>
      <c r="R33" s="170"/>
      <c r="S33" s="169"/>
      <c r="T33" s="170"/>
      <c r="U33" s="169"/>
      <c r="V33" s="103"/>
      <c r="W33" s="68"/>
      <c r="X33" s="68"/>
      <c r="Y33" s="68"/>
      <c r="Z33" s="178"/>
      <c r="AA33" s="178"/>
      <c r="AB33" s="178"/>
      <c r="AC33" s="178"/>
      <c r="AD33" s="178"/>
      <c r="AE33" s="93"/>
      <c r="AF33" s="68"/>
      <c r="AG33" s="64" t="str">
        <f>+'Input sheets'!AP37</f>
        <v>Common equity</v>
      </c>
      <c r="AH33" s="64"/>
      <c r="AI33" s="169">
        <f>+'Input sheets'!AR37</f>
        <v>1056.8</v>
      </c>
      <c r="AJ33" s="64"/>
      <c r="AK33" s="91">
        <f>+'Input sheets'!AT37</f>
        <v>0.35</v>
      </c>
      <c r="AL33" s="91"/>
      <c r="AM33" s="91">
        <f>+'Input sheets'!AV37</f>
        <v>0.0966</v>
      </c>
      <c r="AN33" s="91"/>
      <c r="AO33" s="91">
        <f>+'Input sheets'!AX37</f>
        <v>0.03381</v>
      </c>
      <c r="AP33" s="91"/>
      <c r="AQ33" s="92">
        <f>+'Input sheets'!AZ37</f>
        <v>102.08688000000001</v>
      </c>
      <c r="AR33" s="16" t="s">
        <v>99</v>
      </c>
      <c r="AS33" s="6"/>
      <c r="AT33" s="18"/>
      <c r="AU33" s="6"/>
      <c r="AV33" s="178">
        <f>+'Input sheets'!E35</f>
        <v>-51.81241774193539</v>
      </c>
      <c r="AW33" s="178"/>
      <c r="AX33" s="178"/>
      <c r="AY33" s="183"/>
      <c r="AZ33" s="178"/>
    </row>
    <row r="34" spans="1:52" ht="13.5" thickBot="1">
      <c r="A34" s="78" t="str">
        <f>+'Input sheets'!J34</f>
        <v>   Gas In Storage</v>
      </c>
      <c r="B34" s="64"/>
      <c r="C34" s="64"/>
      <c r="D34" s="64"/>
      <c r="E34" s="169">
        <f>+'Input sheets'!N34</f>
        <v>415.2</v>
      </c>
      <c r="F34" s="170"/>
      <c r="G34" s="169"/>
      <c r="H34" s="169"/>
      <c r="I34" s="169"/>
      <c r="J34" s="169"/>
      <c r="K34" s="169">
        <f>+'Input sheets'!T34</f>
        <v>415.2</v>
      </c>
      <c r="L34" s="42" t="str">
        <f>+'Input sheets'!U36</f>
        <v>Utility Income</v>
      </c>
      <c r="M34" s="70"/>
      <c r="N34" s="64"/>
      <c r="O34" s="169">
        <f>+'Input sheets'!X37</f>
        <v>314.20000000000005</v>
      </c>
      <c r="P34" s="169"/>
      <c r="Q34" s="169">
        <f>+'Input sheets'!Z37</f>
        <v>10.599999999999998</v>
      </c>
      <c r="R34" s="170"/>
      <c r="S34" s="169"/>
      <c r="T34" s="170"/>
      <c r="U34" s="169">
        <f>+'Input sheets'!AD37</f>
        <v>324.80000000000007</v>
      </c>
      <c r="V34" s="103"/>
      <c r="W34" s="68"/>
      <c r="X34" s="68"/>
      <c r="Y34" s="68"/>
      <c r="Z34" s="178"/>
      <c r="AA34" s="178"/>
      <c r="AB34" s="178"/>
      <c r="AC34" s="178"/>
      <c r="AD34" s="183"/>
      <c r="AE34" s="93"/>
      <c r="AF34" s="68"/>
      <c r="AG34" s="64"/>
      <c r="AH34" s="64"/>
      <c r="AI34" s="177">
        <f>+'Input sheets'!AR38</f>
        <v>3019.2999999999997</v>
      </c>
      <c r="AJ34" s="65"/>
      <c r="AK34" s="97">
        <f>+'Input sheets'!AT38</f>
        <v>1.0000150958831515</v>
      </c>
      <c r="AL34" s="98"/>
      <c r="AM34" s="65"/>
      <c r="AN34" s="65"/>
      <c r="AO34" s="97">
        <f>+'Input sheets'!AX38</f>
        <v>0.0826331907892558</v>
      </c>
      <c r="AP34" s="65"/>
      <c r="AQ34" s="177">
        <f>+'Input sheets'!AZ38</f>
        <v>249.44188</v>
      </c>
      <c r="AR34" s="17"/>
      <c r="AS34" s="6"/>
      <c r="AT34" s="18"/>
      <c r="AU34" s="6"/>
      <c r="AV34" s="165"/>
      <c r="AW34" s="169"/>
      <c r="AX34" s="169"/>
      <c r="AY34" s="183"/>
      <c r="AZ34" s="169"/>
    </row>
    <row r="35" spans="1:52" ht="13.5" thickTop="1">
      <c r="A35" s="78" t="str">
        <f>+'Input sheets'!J35</f>
        <v>   Working Cash Allowance</v>
      </c>
      <c r="B35" s="64"/>
      <c r="C35" s="64"/>
      <c r="D35" s="64"/>
      <c r="E35" s="169">
        <f>+'Input sheets'!N35</f>
        <v>15.9</v>
      </c>
      <c r="F35" s="170"/>
      <c r="G35" s="169"/>
      <c r="H35" s="169"/>
      <c r="I35" s="169"/>
      <c r="J35" s="176"/>
      <c r="K35" s="169">
        <f>+'Input sheets'!T35</f>
        <v>16.1</v>
      </c>
      <c r="L35" s="42" t="str">
        <f>+'Input sheets'!U37</f>
        <v>  Before Income Taxes</v>
      </c>
      <c r="M35" s="70"/>
      <c r="N35" s="64"/>
      <c r="O35" s="169"/>
      <c r="P35" s="169"/>
      <c r="Q35" s="169"/>
      <c r="R35" s="170"/>
      <c r="S35" s="169"/>
      <c r="T35" s="170"/>
      <c r="U35" s="169"/>
      <c r="V35" s="103"/>
      <c r="W35" s="68" t="str">
        <f>+'Input sheets'!AF35</f>
        <v>Total Income Tax Amount</v>
      </c>
      <c r="X35" s="68"/>
      <c r="Y35" s="68"/>
      <c r="Z35" s="178"/>
      <c r="AA35" s="178"/>
      <c r="AB35" s="178"/>
      <c r="AC35" s="178"/>
      <c r="AD35" s="178">
        <f>+Z31+AB31</f>
        <v>132.11300000000003</v>
      </c>
      <c r="AE35" s="93"/>
      <c r="AF35" s="68"/>
      <c r="AG35" s="64"/>
      <c r="AH35" s="64"/>
      <c r="AI35" s="169"/>
      <c r="AJ35" s="64"/>
      <c r="AK35" s="64"/>
      <c r="AL35" s="64"/>
      <c r="AM35" s="64"/>
      <c r="AN35" s="64"/>
      <c r="AO35" s="64"/>
      <c r="AP35" s="64"/>
      <c r="AQ35" s="169"/>
      <c r="AR35" s="68"/>
      <c r="AS35" s="64"/>
      <c r="AT35" s="103"/>
      <c r="AU35" s="64"/>
      <c r="AV35" s="178"/>
      <c r="AW35" s="169"/>
      <c r="AX35" s="169"/>
      <c r="AY35" s="183"/>
      <c r="AZ35" s="169"/>
    </row>
    <row r="36" spans="1:52" ht="15.75">
      <c r="A36" s="78"/>
      <c r="B36" s="64"/>
      <c r="C36" s="64"/>
      <c r="D36" s="64"/>
      <c r="E36" s="169"/>
      <c r="F36" s="170"/>
      <c r="G36" s="169"/>
      <c r="H36" s="169"/>
      <c r="I36" s="163"/>
      <c r="J36" s="176"/>
      <c r="K36" s="169" t="s">
        <v>100</v>
      </c>
      <c r="L36" s="64"/>
      <c r="M36" s="64"/>
      <c r="N36" s="64"/>
      <c r="O36" s="169"/>
      <c r="P36" s="169"/>
      <c r="Q36" s="169"/>
      <c r="R36" s="170"/>
      <c r="S36" s="169"/>
      <c r="T36" s="170"/>
      <c r="U36" s="169"/>
      <c r="V36" s="103"/>
      <c r="W36" s="68" t="str">
        <f>+'Input sheets'!AF36</f>
        <v>Part VI.1 tax</v>
      </c>
      <c r="X36" s="68"/>
      <c r="Y36" s="68"/>
      <c r="Z36" s="178"/>
      <c r="AA36" s="178"/>
      <c r="AB36" s="178"/>
      <c r="AC36" s="178"/>
      <c r="AD36" s="178">
        <f>+'Input sheets'!AM36</f>
        <v>3.1</v>
      </c>
      <c r="AE36" s="93"/>
      <c r="AF36" s="68"/>
      <c r="AG36" s="64"/>
      <c r="AH36" s="64"/>
      <c r="AI36" s="169"/>
      <c r="AJ36" s="64"/>
      <c r="AK36" s="64"/>
      <c r="AL36" s="64"/>
      <c r="AM36" s="64"/>
      <c r="AN36" s="64"/>
      <c r="AO36" s="64"/>
      <c r="AP36" s="64"/>
      <c r="AQ36" s="169"/>
      <c r="AR36" s="64"/>
      <c r="AS36" s="64"/>
      <c r="AT36" s="64"/>
      <c r="AU36" s="64"/>
      <c r="AV36" s="169"/>
      <c r="AW36" s="180"/>
      <c r="AX36" s="169"/>
      <c r="AY36" s="183"/>
      <c r="AZ36" s="169"/>
    </row>
    <row r="37" spans="1:52" ht="12.75">
      <c r="A37" s="42" t="str">
        <f>+'Input sheets'!J37</f>
        <v>Total Working Capital</v>
      </c>
      <c r="B37" s="64"/>
      <c r="C37" s="64"/>
      <c r="D37" s="64"/>
      <c r="E37" s="172">
        <f>+'Input sheets'!N37</f>
        <v>438.79999999999995</v>
      </c>
      <c r="F37" s="170"/>
      <c r="G37" s="172">
        <f>+'Input sheets'!P37</f>
        <v>0.2</v>
      </c>
      <c r="H37" s="169"/>
      <c r="I37" s="172">
        <f>SUM(I25:I35)</f>
        <v>0</v>
      </c>
      <c r="J37" s="169"/>
      <c r="K37" s="172">
        <f>SUM(K25:K35)</f>
        <v>439</v>
      </c>
      <c r="L37" s="70" t="str">
        <f>+'Input sheets'!U39</f>
        <v>Income Taxes</v>
      </c>
      <c r="M37" s="64"/>
      <c r="N37" s="64"/>
      <c r="O37" s="169"/>
      <c r="P37" s="169"/>
      <c r="Q37" s="169"/>
      <c r="R37" s="170"/>
      <c r="S37" s="169"/>
      <c r="T37" s="170"/>
      <c r="U37" s="169"/>
      <c r="V37" s="103"/>
      <c r="W37" s="68"/>
      <c r="X37" s="68"/>
      <c r="Y37" s="68"/>
      <c r="Z37" s="178"/>
      <c r="AA37" s="178"/>
      <c r="AB37" s="178"/>
      <c r="AC37" s="178"/>
      <c r="AD37" s="178"/>
      <c r="AE37" s="93"/>
      <c r="AF37" s="68"/>
      <c r="AG37" s="42" t="str">
        <f>+'Input sheets'!AP41</f>
        <v>PER BOARD</v>
      </c>
      <c r="AH37" s="64"/>
      <c r="AI37" s="169"/>
      <c r="AJ37" s="64"/>
      <c r="AK37" s="64"/>
      <c r="AL37" s="64"/>
      <c r="AM37" s="64"/>
      <c r="AN37" s="64"/>
      <c r="AO37" s="64"/>
      <c r="AP37" s="64"/>
      <c r="AQ37" s="169"/>
      <c r="AR37" s="64"/>
      <c r="AS37" s="64"/>
      <c r="AT37" s="64"/>
      <c r="AU37" s="64"/>
      <c r="AV37" s="169"/>
      <c r="AW37" s="169"/>
      <c r="AX37" s="169"/>
      <c r="AY37" s="183"/>
      <c r="AZ37" s="169"/>
    </row>
    <row r="38" spans="1:52" ht="16.5" thickBot="1">
      <c r="A38" s="64"/>
      <c r="B38" s="64"/>
      <c r="C38" s="64"/>
      <c r="D38" s="64"/>
      <c r="E38" s="92"/>
      <c r="F38" s="170"/>
      <c r="G38" s="169"/>
      <c r="H38" s="169"/>
      <c r="I38" s="169"/>
      <c r="J38" s="169"/>
      <c r="K38" s="169"/>
      <c r="L38" s="78" t="str">
        <f>+'Input sheets'!U40</f>
        <v>   Excluding interest shield</v>
      </c>
      <c r="M38" s="64"/>
      <c r="N38" s="64"/>
      <c r="O38" s="169">
        <f>+'Input sheets'!X40</f>
        <v>131</v>
      </c>
      <c r="P38" s="169"/>
      <c r="Q38" s="169">
        <f>+'Input sheets'!Z40</f>
        <v>4.1</v>
      </c>
      <c r="R38" s="170"/>
      <c r="S38" s="169"/>
      <c r="T38" s="171"/>
      <c r="U38" s="169">
        <f>+'Input sheets'!AD40</f>
        <v>135.11300000000003</v>
      </c>
      <c r="V38" s="127"/>
      <c r="W38" s="68" t="str">
        <f>+'Input sheets'!AF37</f>
        <v>Investment Tax Credit</v>
      </c>
      <c r="X38" s="68"/>
      <c r="Y38" s="68"/>
      <c r="Z38" s="178"/>
      <c r="AA38" s="178"/>
      <c r="AB38" s="178"/>
      <c r="AC38" s="178"/>
      <c r="AD38" s="178">
        <f>+'Input sheets'!AM37</f>
        <v>-0.1</v>
      </c>
      <c r="AE38" s="93"/>
      <c r="AF38" s="68"/>
      <c r="AG38" s="64"/>
      <c r="AH38" s="64"/>
      <c r="AI38" s="186" t="str">
        <f>+'Input sheets'!AR42</f>
        <v>Capital</v>
      </c>
      <c r="AJ38" s="81"/>
      <c r="AK38" s="68"/>
      <c r="AL38" s="88"/>
      <c r="AM38" s="110" t="str">
        <f>+'Input sheets'!AV42</f>
        <v>Cost</v>
      </c>
      <c r="AN38" s="84"/>
      <c r="AO38" s="110" t="str">
        <f>+'Input sheets'!AX42</f>
        <v>Return</v>
      </c>
      <c r="AP38" s="84"/>
      <c r="AQ38" s="178"/>
      <c r="AR38" s="106" t="str">
        <f>+'Input sheets'!A40</f>
        <v>Gross Revenue Excess/(Deficiency)</v>
      </c>
      <c r="AS38" s="64"/>
      <c r="AT38" s="64"/>
      <c r="AU38" s="64"/>
      <c r="AV38" s="192">
        <f>+'Input sheets'!E40</f>
        <v>-51.8124177419354</v>
      </c>
      <c r="AW38" s="193"/>
      <c r="AX38" s="192">
        <f>+'Input sheets'!G40</f>
        <v>-9.249020887096773</v>
      </c>
      <c r="AY38" s="183"/>
      <c r="AZ38" s="192">
        <f>+'Input sheets'!I40</f>
        <v>-9.249020887096773</v>
      </c>
    </row>
    <row r="39" spans="1:52" ht="17.25" thickBot="1" thickTop="1">
      <c r="A39" s="64"/>
      <c r="B39" s="64"/>
      <c r="C39" s="64"/>
      <c r="D39" s="64"/>
      <c r="E39" s="92"/>
      <c r="F39" s="170"/>
      <c r="G39" s="169"/>
      <c r="H39" s="169"/>
      <c r="I39" s="169"/>
      <c r="J39" s="169"/>
      <c r="K39" s="169"/>
      <c r="L39" s="78" t="str">
        <f>+'Input sheets'!U41</f>
        <v>   Tax shield on interest expense</v>
      </c>
      <c r="M39" s="64"/>
      <c r="N39" s="64"/>
      <c r="O39" s="169">
        <f>+'Input sheets'!X41</f>
        <v>-55.8</v>
      </c>
      <c r="P39" s="169"/>
      <c r="Q39" s="169">
        <f>+'Input sheets'!Z41</f>
        <v>1.8</v>
      </c>
      <c r="R39" s="170"/>
      <c r="S39" s="169"/>
      <c r="T39" s="170"/>
      <c r="U39" s="169">
        <f>+'Input sheets'!AD41</f>
        <v>-54.035999999999994</v>
      </c>
      <c r="V39" s="127"/>
      <c r="W39" s="106" t="str">
        <f>+'Input sheets'!AF38</f>
        <v>Taxes excluding tax shield on interest expense</v>
      </c>
      <c r="X39" s="68"/>
      <c r="Y39" s="68"/>
      <c r="Z39" s="178"/>
      <c r="AA39" s="178"/>
      <c r="AB39" s="178"/>
      <c r="AC39" s="178"/>
      <c r="AD39" s="182">
        <f>+'Input sheets'!AM38</f>
        <v>135.11300000000003</v>
      </c>
      <c r="AE39" s="93"/>
      <c r="AF39" s="68"/>
      <c r="AG39" s="64"/>
      <c r="AH39" s="64"/>
      <c r="AI39" s="186" t="str">
        <f>+'Input sheets'!AR43</f>
        <v>Structure</v>
      </c>
      <c r="AJ39" s="81"/>
      <c r="AK39" s="77" t="str">
        <f>+'Input sheets'!AT43</f>
        <v>Ratios</v>
      </c>
      <c r="AL39" s="88"/>
      <c r="AM39" s="110" t="str">
        <f>+'Input sheets'!AV43</f>
        <v>Rate</v>
      </c>
      <c r="AN39" s="81"/>
      <c r="AO39" s="77" t="str">
        <f>+'Input sheets'!AX43</f>
        <v>Component</v>
      </c>
      <c r="AP39" s="81"/>
      <c r="AQ39" s="186" t="str">
        <f>+'Input sheets'!AZ43</f>
        <v>Return</v>
      </c>
      <c r="AR39" s="64"/>
      <c r="AS39" s="64"/>
      <c r="AT39" s="64"/>
      <c r="AU39" s="64"/>
      <c r="AV39" s="169"/>
      <c r="AW39" s="169"/>
      <c r="AX39" s="169"/>
      <c r="AY39" s="183"/>
      <c r="AZ39" s="169"/>
    </row>
    <row r="40" spans="1:52" ht="17.25" thickBot="1" thickTop="1">
      <c r="A40" s="43" t="str">
        <f>+'Input sheets'!J40</f>
        <v>Ontario Utility Rate Base</v>
      </c>
      <c r="B40" s="64"/>
      <c r="C40" s="64"/>
      <c r="D40" s="64"/>
      <c r="E40" s="177">
        <f>+'Input sheets'!N40</f>
        <v>3028.3</v>
      </c>
      <c r="F40" s="170"/>
      <c r="G40" s="177">
        <f>+'Input sheets'!P40</f>
        <v>-9.000000000000002</v>
      </c>
      <c r="H40" s="169"/>
      <c r="I40" s="177">
        <f>+'Input sheets'!R40</f>
        <v>0</v>
      </c>
      <c r="J40" s="169"/>
      <c r="K40" s="177">
        <f>+'Input sheets'!T40</f>
        <v>3019.3</v>
      </c>
      <c r="L40" s="42" t="str">
        <f>+'Input sheets'!U43</f>
        <v>   Total Income Taxes</v>
      </c>
      <c r="M40" s="64"/>
      <c r="N40" s="64"/>
      <c r="O40" s="172">
        <f>+'Input sheets'!X43</f>
        <v>75.2</v>
      </c>
      <c r="P40" s="169"/>
      <c r="Q40" s="172">
        <f>+'Input sheets'!Z43</f>
        <v>5.8999999999999995</v>
      </c>
      <c r="R40" s="170"/>
      <c r="S40" s="172">
        <f>+S38+S39</f>
        <v>0</v>
      </c>
      <c r="T40" s="169"/>
      <c r="U40" s="172">
        <f>SUM(U38:U39)</f>
        <v>81.07700000000003</v>
      </c>
      <c r="V40" s="127"/>
      <c r="W40" s="68"/>
      <c r="X40" s="68"/>
      <c r="Y40" s="68"/>
      <c r="Z40" s="178"/>
      <c r="AA40" s="178"/>
      <c r="AB40" s="178"/>
      <c r="AC40" s="178"/>
      <c r="AD40" s="178"/>
      <c r="AE40" s="93"/>
      <c r="AF40" s="68"/>
      <c r="AG40" s="64"/>
      <c r="AH40" s="64"/>
      <c r="AI40" s="169"/>
      <c r="AJ40" s="64"/>
      <c r="AK40" s="64"/>
      <c r="AL40" s="64"/>
      <c r="AM40" s="64"/>
      <c r="AN40" s="64"/>
      <c r="AO40" s="64"/>
      <c r="AP40" s="64"/>
      <c r="AQ40" s="178"/>
      <c r="AR40" s="64"/>
      <c r="AS40" s="64"/>
      <c r="AT40" s="64"/>
      <c r="AU40" s="64"/>
      <c r="AV40" s="64"/>
      <c r="AW40" s="64"/>
      <c r="AX40" s="74"/>
      <c r="AZ40" s="64"/>
    </row>
    <row r="41" spans="1:52" ht="13.5" thickTop="1">
      <c r="A41" s="64"/>
      <c r="B41" s="64"/>
      <c r="C41" s="64"/>
      <c r="D41" s="64"/>
      <c r="E41" s="147"/>
      <c r="F41" s="147"/>
      <c r="G41" s="147"/>
      <c r="H41" s="147"/>
      <c r="I41" s="147"/>
      <c r="J41" s="147"/>
      <c r="K41" s="147"/>
      <c r="L41" s="64"/>
      <c r="M41" s="64"/>
      <c r="N41" s="64"/>
      <c r="O41" s="169"/>
      <c r="P41" s="169"/>
      <c r="Q41" s="169"/>
      <c r="R41" s="170"/>
      <c r="S41" s="169"/>
      <c r="T41" s="169"/>
      <c r="U41" s="169"/>
      <c r="V41" s="69"/>
      <c r="W41" s="68" t="str">
        <f>+'Input sheets'!AF40</f>
        <v>Interest Expense</v>
      </c>
      <c r="X41" s="68"/>
      <c r="Y41" s="68"/>
      <c r="Z41" s="178">
        <f>+'Input sheets'!AI40</f>
        <v>142.2</v>
      </c>
      <c r="AA41" s="178"/>
      <c r="AB41" s="178"/>
      <c r="AC41" s="178"/>
      <c r="AD41" s="178"/>
      <c r="AE41" s="93"/>
      <c r="AF41" s="68"/>
      <c r="AG41" s="64" t="str">
        <f>+'Input sheets'!AP45</f>
        <v>Long-term debt</v>
      </c>
      <c r="AH41" s="64"/>
      <c r="AI41" s="169">
        <f>+'Input sheets'!AR45</f>
        <v>1751.6</v>
      </c>
      <c r="AJ41" s="65"/>
      <c r="AK41" s="91">
        <f>+'Input sheets'!AT45</f>
        <v>0.5801344682542311</v>
      </c>
      <c r="AL41" s="98"/>
      <c r="AM41" s="91">
        <f>+'Input sheets'!AV45</f>
        <v>0.0794</v>
      </c>
      <c r="AN41" s="98"/>
      <c r="AO41" s="91">
        <f>+'Input sheets'!AX45</f>
        <v>0.04606267677938595</v>
      </c>
      <c r="AP41" s="98"/>
      <c r="AQ41" s="92">
        <f>+'Input sheets'!AZ45</f>
        <v>139.07703999999998</v>
      </c>
      <c r="AR41" s="106" t="str">
        <f>+'Input sheets'!A43</f>
        <v>Footnotes:</v>
      </c>
      <c r="AS41" s="64"/>
      <c r="AT41" s="64"/>
      <c r="AU41" s="64"/>
      <c r="AV41" s="64"/>
      <c r="AW41" s="64"/>
      <c r="AX41" s="64"/>
      <c r="AZ41" s="64"/>
    </row>
    <row r="42" spans="1:52" ht="13.5" thickBot="1">
      <c r="A42" s="43"/>
      <c r="B42" s="6"/>
      <c r="C42" s="6"/>
      <c r="D42" s="6"/>
      <c r="E42" s="64"/>
      <c r="F42" s="64"/>
      <c r="G42" s="64"/>
      <c r="H42" s="64"/>
      <c r="I42" s="64"/>
      <c r="J42" s="64"/>
      <c r="K42" s="64"/>
      <c r="L42" s="43" t="str">
        <f>+'Input sheets'!U45</f>
        <v>Utility Income</v>
      </c>
      <c r="M42" s="64"/>
      <c r="N42" s="64"/>
      <c r="O42" s="174">
        <f>+O34-O40</f>
        <v>239.00000000000006</v>
      </c>
      <c r="P42" s="169"/>
      <c r="Q42" s="174">
        <f>+Q34-Q40</f>
        <v>4.699999999999998</v>
      </c>
      <c r="R42" s="170"/>
      <c r="S42" s="174">
        <f>+S34-S40</f>
        <v>0</v>
      </c>
      <c r="T42" s="169"/>
      <c r="U42" s="174">
        <f>+U34-U40</f>
        <v>243.72300000000004</v>
      </c>
      <c r="V42" s="69"/>
      <c r="W42" s="68" t="str">
        <f>+'Input sheets'!AF41</f>
        <v>Tax Rate</v>
      </c>
      <c r="X42" s="68"/>
      <c r="Y42" s="68"/>
      <c r="Z42" s="107">
        <f>+'Input sheets'!AI41</f>
        <v>0.38</v>
      </c>
      <c r="AA42" s="178"/>
      <c r="AB42" s="178"/>
      <c r="AC42" s="178"/>
      <c r="AD42" s="178"/>
      <c r="AE42" s="93"/>
      <c r="AF42" s="68"/>
      <c r="AG42" s="64" t="str">
        <f>+'Input sheets'!AP46</f>
        <v>Short-term debt</v>
      </c>
      <c r="AH42" s="64"/>
      <c r="AI42" s="169">
        <f>+'Input sheets'!AR46</f>
        <v>111.8</v>
      </c>
      <c r="AJ42" s="65"/>
      <c r="AK42" s="91">
        <f>+'Input sheets'!AT46</f>
        <v>0.037028450303050374</v>
      </c>
      <c r="AL42" s="98"/>
      <c r="AM42" s="91">
        <f>+'Input sheets'!AV46</f>
        <v>0.0283</v>
      </c>
      <c r="AN42" s="98"/>
      <c r="AO42" s="91">
        <f>+'Input sheets'!AX46</f>
        <v>0.0010479051435763255</v>
      </c>
      <c r="AP42" s="98"/>
      <c r="AQ42" s="92">
        <f>+'Input sheets'!AZ46</f>
        <v>3.2</v>
      </c>
      <c r="AR42" s="115" t="s">
        <v>106</v>
      </c>
      <c r="AS42" s="64"/>
      <c r="AT42" s="79">
        <f>'Input sheets'!AI41</f>
        <v>0.38</v>
      </c>
      <c r="AU42" s="64"/>
      <c r="AV42" s="64"/>
      <c r="AW42" s="64"/>
      <c r="AX42" s="64"/>
      <c r="AY42" s="64"/>
      <c r="AZ42" s="64"/>
    </row>
    <row r="43" spans="1:52" ht="13.5" thickTop="1">
      <c r="A43" s="68" t="s">
        <v>122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"/>
      <c r="M43" s="6"/>
      <c r="N43" s="6"/>
      <c r="O43" s="6"/>
      <c r="P43" s="137"/>
      <c r="Q43" s="137"/>
      <c r="R43" s="137"/>
      <c r="S43" s="137"/>
      <c r="T43" s="137"/>
      <c r="U43" s="64"/>
      <c r="V43" s="65"/>
      <c r="W43" s="68"/>
      <c r="X43" s="68"/>
      <c r="Y43" s="68"/>
      <c r="Z43" s="178"/>
      <c r="AA43" s="178"/>
      <c r="AB43" s="178"/>
      <c r="AC43" s="178"/>
      <c r="AD43" s="178"/>
      <c r="AE43" s="93"/>
      <c r="AF43" s="68"/>
      <c r="AG43" s="64" t="str">
        <f>+'Input sheets'!AP47</f>
        <v>Preference shares</v>
      </c>
      <c r="AH43" s="64"/>
      <c r="AI43" s="169">
        <f>+'Input sheets'!AR47</f>
        <v>99.1</v>
      </c>
      <c r="AJ43" s="65"/>
      <c r="AK43" s="91">
        <f>+'Input sheets'!AT47</f>
        <v>0.03285217732587023</v>
      </c>
      <c r="AL43" s="98"/>
      <c r="AM43" s="91">
        <f>+'Input sheets'!AV47</f>
        <v>0.05</v>
      </c>
      <c r="AN43" s="98"/>
      <c r="AO43" s="91">
        <f>+'Input sheets'!AX47</f>
        <v>0.0017126088662935115</v>
      </c>
      <c r="AP43" s="98"/>
      <c r="AQ43" s="92">
        <f>+'Input sheets'!AZ47</f>
        <v>4.955</v>
      </c>
      <c r="AR43" s="115"/>
      <c r="AS43" s="64"/>
      <c r="AT43" s="68"/>
      <c r="AU43" s="64"/>
      <c r="AV43" s="64"/>
      <c r="AW43" s="64"/>
      <c r="AX43" s="74"/>
      <c r="AY43" s="64"/>
      <c r="AZ43" s="64"/>
    </row>
    <row r="44" spans="1:52" ht="13.5" thickBot="1">
      <c r="A44" s="197" t="s">
        <v>133</v>
      </c>
      <c r="B44" s="64"/>
      <c r="C44" s="64"/>
      <c r="D44" s="64"/>
      <c r="E44" s="64"/>
      <c r="F44" s="64"/>
      <c r="G44" s="64"/>
      <c r="H44" s="64"/>
      <c r="I44" s="121"/>
      <c r="J44" s="64"/>
      <c r="K44" s="64"/>
      <c r="L44" s="43"/>
      <c r="M44" s="68"/>
      <c r="N44" s="68"/>
      <c r="O44" s="64"/>
      <c r="P44" s="64"/>
      <c r="Q44" s="64"/>
      <c r="R44" s="64"/>
      <c r="S44" s="64"/>
      <c r="T44" s="64"/>
      <c r="U44" s="64"/>
      <c r="V44" s="65"/>
      <c r="W44" s="106" t="str">
        <f>+'Input sheets'!AF44</f>
        <v>Interest Tax Shield</v>
      </c>
      <c r="X44" s="68"/>
      <c r="Y44" s="68"/>
      <c r="Z44" s="178"/>
      <c r="AA44" s="178"/>
      <c r="AB44" s="178"/>
      <c r="AC44" s="178"/>
      <c r="AD44" s="182">
        <f>+'Input sheets'!AM44</f>
        <v>54.035999999999994</v>
      </c>
      <c r="AE44" s="93"/>
      <c r="AF44" s="68"/>
      <c r="AG44" s="64" t="str">
        <f>+'Input sheets'!AP48</f>
        <v>Common equity</v>
      </c>
      <c r="AH44" s="64"/>
      <c r="AI44" s="169">
        <f>+'Input sheets'!AR48</f>
        <v>1056.8</v>
      </c>
      <c r="AJ44" s="65"/>
      <c r="AK44" s="91">
        <f>+'Input sheets'!AT48</f>
        <v>0.35</v>
      </c>
      <c r="AL44" s="98"/>
      <c r="AM44" s="91">
        <f>+'Input sheets'!AV48</f>
        <v>0.0966</v>
      </c>
      <c r="AN44" s="103"/>
      <c r="AO44" s="91">
        <f>+'Input sheets'!AX48</f>
        <v>0.03381</v>
      </c>
      <c r="AP44" s="98"/>
      <c r="AQ44" s="92">
        <f>+'Input sheets'!AZ48</f>
        <v>102.08688000000001</v>
      </c>
      <c r="AR44" s="115"/>
      <c r="AS44" s="64"/>
      <c r="AT44" s="68"/>
      <c r="AU44" s="64"/>
      <c r="AV44" s="64"/>
      <c r="AW44" s="64"/>
      <c r="AX44" s="74"/>
      <c r="AY44" s="64"/>
      <c r="AZ44" s="64"/>
    </row>
    <row r="45" spans="1:52" ht="14.25" thickBot="1" thickTop="1">
      <c r="A45" s="120"/>
      <c r="B45" s="64"/>
      <c r="C45" s="64"/>
      <c r="D45" s="64"/>
      <c r="E45" s="64"/>
      <c r="F45" s="64"/>
      <c r="G45" s="64"/>
      <c r="H45" s="64"/>
      <c r="I45" s="122"/>
      <c r="J45" s="64"/>
      <c r="K45" s="64"/>
      <c r="L45" s="68" t="s">
        <v>122</v>
      </c>
      <c r="M45" s="68"/>
      <c r="N45" s="64"/>
      <c r="O45" s="12"/>
      <c r="P45" s="12"/>
      <c r="Q45" s="64"/>
      <c r="R45" s="64"/>
      <c r="S45" s="64"/>
      <c r="T45" s="64"/>
      <c r="U45" s="64"/>
      <c r="V45" s="65"/>
      <c r="W45" s="68"/>
      <c r="X45" s="65"/>
      <c r="Y45" s="65"/>
      <c r="Z45" s="93"/>
      <c r="AA45" s="93"/>
      <c r="AB45" s="93"/>
      <c r="AC45" s="65"/>
      <c r="AD45" s="65"/>
      <c r="AE45" s="65"/>
      <c r="AF45" s="65"/>
      <c r="AG45" s="64"/>
      <c r="AH45" s="64"/>
      <c r="AI45" s="177">
        <f>+'Input sheets'!AR49</f>
        <v>3019.2999999999997</v>
      </c>
      <c r="AJ45" s="65"/>
      <c r="AK45" s="97">
        <f>+'Input sheets'!AT49</f>
        <v>1.0000150958831515</v>
      </c>
      <c r="AL45" s="98"/>
      <c r="AM45" s="65"/>
      <c r="AN45" s="65"/>
      <c r="AO45" s="97">
        <f>+'Input sheets'!AX49</f>
        <v>0.0826331907892558</v>
      </c>
      <c r="AP45" s="65"/>
      <c r="AQ45" s="177">
        <f>'Input sheets'!BK53</f>
        <v>249.41891999999999</v>
      </c>
      <c r="AR45" s="115"/>
      <c r="AS45" s="64"/>
      <c r="AT45" s="68"/>
      <c r="AU45" s="64"/>
      <c r="AV45" s="64"/>
      <c r="AW45" s="64"/>
      <c r="AX45" s="74"/>
      <c r="AY45" s="64"/>
      <c r="AZ45" s="64"/>
    </row>
    <row r="46" spans="1:52" ht="16.5" thickTop="1">
      <c r="A46" s="120"/>
      <c r="B46" s="64"/>
      <c r="C46" s="64"/>
      <c r="D46" s="64"/>
      <c r="E46" s="64"/>
      <c r="F46" s="64"/>
      <c r="G46" s="121"/>
      <c r="H46" s="64"/>
      <c r="I46" s="64"/>
      <c r="J46" s="64"/>
      <c r="K46" s="64"/>
      <c r="L46" s="197" t="s">
        <v>138</v>
      </c>
      <c r="M46" s="123"/>
      <c r="N46" s="68"/>
      <c r="O46" s="64"/>
      <c r="P46" s="64"/>
      <c r="Q46" s="68"/>
      <c r="R46" s="68"/>
      <c r="S46" s="68"/>
      <c r="T46" s="68"/>
      <c r="U46" s="68"/>
      <c r="V46" s="65"/>
      <c r="W46" s="43"/>
      <c r="X46" s="68"/>
      <c r="Y46" s="68"/>
      <c r="Z46" s="64"/>
      <c r="AB46" s="65"/>
      <c r="AC46" s="65"/>
      <c r="AD46" s="65"/>
      <c r="AE46" s="65"/>
      <c r="AF46" s="65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115"/>
      <c r="AS46" s="64"/>
      <c r="AT46" s="68"/>
      <c r="AU46" s="64"/>
      <c r="AV46" s="64"/>
      <c r="AW46" s="64"/>
      <c r="AX46" s="74"/>
      <c r="AY46" s="64"/>
      <c r="AZ46" s="64"/>
    </row>
    <row r="47" spans="1:52" ht="15.75">
      <c r="A47" s="120"/>
      <c r="C47" s="64"/>
      <c r="D47" s="64"/>
      <c r="E47" s="64"/>
      <c r="F47" s="121"/>
      <c r="G47" s="122"/>
      <c r="H47" s="64"/>
      <c r="I47" s="64"/>
      <c r="J47" s="64"/>
      <c r="K47" s="64"/>
      <c r="L47" s="197" t="s">
        <v>137</v>
      </c>
      <c r="M47" s="123"/>
      <c r="N47" s="68"/>
      <c r="O47" s="64"/>
      <c r="P47" s="64"/>
      <c r="Q47" s="68"/>
      <c r="R47" s="68"/>
      <c r="S47" s="68"/>
      <c r="T47" s="68"/>
      <c r="V47" s="65"/>
      <c r="W47" s="78"/>
      <c r="X47" s="68"/>
      <c r="Y47" s="64"/>
      <c r="Z47" s="12"/>
      <c r="AA47" s="135"/>
      <c r="AB47" s="125"/>
      <c r="AC47" s="65"/>
      <c r="AD47" s="65"/>
      <c r="AE47" s="65"/>
      <c r="AF47" s="65"/>
      <c r="AG47" s="43" t="s">
        <v>135</v>
      </c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115"/>
      <c r="AS47" s="64"/>
      <c r="AT47" s="64"/>
      <c r="AU47" s="64"/>
      <c r="AV47" s="64"/>
      <c r="AW47" s="64"/>
      <c r="AX47" s="75"/>
      <c r="AY47" s="64"/>
      <c r="AZ47" s="64"/>
    </row>
    <row r="48" spans="1:52" ht="15.75">
      <c r="A48" s="78"/>
      <c r="B48" s="64"/>
      <c r="C48" s="64"/>
      <c r="D48" s="64"/>
      <c r="E48" s="64"/>
      <c r="F48" s="122"/>
      <c r="G48" s="64"/>
      <c r="H48" s="64"/>
      <c r="I48" s="64"/>
      <c r="J48" s="64"/>
      <c r="K48" s="64"/>
      <c r="L48" s="78"/>
      <c r="M48" s="68"/>
      <c r="N48" s="123"/>
      <c r="O48" s="68"/>
      <c r="P48" s="68"/>
      <c r="Q48" s="68"/>
      <c r="R48" s="68"/>
      <c r="S48" s="68"/>
      <c r="T48" s="68"/>
      <c r="U48" s="68"/>
      <c r="V48" s="65"/>
      <c r="W48" s="152"/>
      <c r="X48" s="65"/>
      <c r="Y48" s="65"/>
      <c r="Z48" s="68"/>
      <c r="AB48" s="129"/>
      <c r="AC48" s="20"/>
      <c r="AD48" s="65"/>
      <c r="AE48" s="65"/>
      <c r="AF48" s="66"/>
      <c r="AG48" s="78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43"/>
      <c r="AS48" s="64"/>
      <c r="AT48" s="64"/>
      <c r="AU48" s="64"/>
      <c r="AV48" s="64"/>
      <c r="AW48" s="64"/>
      <c r="AX48" s="64"/>
      <c r="AY48" s="64"/>
      <c r="AZ48" s="64"/>
    </row>
    <row r="49" spans="1:52" ht="15.75">
      <c r="A49" s="136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78"/>
      <c r="M49" s="68"/>
      <c r="N49" s="123"/>
      <c r="O49" s="68"/>
      <c r="Q49" s="68"/>
      <c r="R49" s="68"/>
      <c r="S49" s="68"/>
      <c r="T49" s="68"/>
      <c r="U49" s="68"/>
      <c r="V49" s="65"/>
      <c r="W49" s="65"/>
      <c r="X49" s="131"/>
      <c r="Y49" s="20"/>
      <c r="Z49" s="20"/>
      <c r="AB49" s="130"/>
      <c r="AC49" s="20"/>
      <c r="AD49" s="20"/>
      <c r="AE49" s="20"/>
      <c r="AF49" s="49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42"/>
      <c r="AS49" s="42"/>
      <c r="AT49" s="64"/>
      <c r="AU49" s="64"/>
      <c r="AV49" s="64"/>
      <c r="AW49" s="64"/>
      <c r="AX49" s="64"/>
      <c r="AY49" s="64"/>
      <c r="AZ49" s="64"/>
    </row>
    <row r="50" spans="1:5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78"/>
      <c r="V50" s="65"/>
      <c r="W50" s="132"/>
      <c r="Z50" s="55"/>
      <c r="AA50" s="55"/>
      <c r="AB50" s="55"/>
      <c r="AC50" s="55"/>
      <c r="AD50" s="55"/>
      <c r="AE50" s="55"/>
      <c r="AF50" s="20"/>
      <c r="AG50" s="7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42"/>
      <c r="AS50" s="42"/>
      <c r="AT50" s="64"/>
      <c r="AU50" s="64"/>
      <c r="AV50" s="64"/>
      <c r="AW50" s="64"/>
      <c r="AX50" s="64"/>
      <c r="AY50" s="64"/>
      <c r="AZ50" s="64"/>
    </row>
    <row r="51" spans="1:52" ht="12.75">
      <c r="A51" s="68"/>
      <c r="B51" s="68"/>
      <c r="C51" s="68"/>
      <c r="D51" s="68"/>
      <c r="E51" s="68"/>
      <c r="F51" s="68"/>
      <c r="G51" s="68"/>
      <c r="H51" s="68"/>
      <c r="I51" s="68"/>
      <c r="J51" s="64"/>
      <c r="K51" s="64"/>
      <c r="L51" s="115"/>
      <c r="V51" s="20"/>
      <c r="W51" s="20"/>
      <c r="X51" s="55"/>
      <c r="Y51" s="55"/>
      <c r="Z51" s="55"/>
      <c r="AA51" s="55"/>
      <c r="AB51" s="55"/>
      <c r="AC51" s="55"/>
      <c r="AD51" s="55"/>
      <c r="AE51" s="55"/>
      <c r="AF51" s="55"/>
      <c r="AG51" s="42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42"/>
      <c r="AS51" s="42"/>
      <c r="AT51" s="64"/>
      <c r="AU51" s="64"/>
      <c r="AV51" s="64"/>
      <c r="AW51" s="64"/>
      <c r="AX51" s="64"/>
      <c r="AY51" s="64"/>
      <c r="AZ51" s="64"/>
    </row>
    <row r="52" spans="1:52" ht="15.75">
      <c r="A52" s="68"/>
      <c r="B52" s="68"/>
      <c r="C52" s="68"/>
      <c r="D52" s="68"/>
      <c r="E52" s="68"/>
      <c r="F52" s="68"/>
      <c r="G52" s="68"/>
      <c r="H52" s="68"/>
      <c r="I52" s="68"/>
      <c r="J52" s="64"/>
      <c r="K52" s="64"/>
      <c r="V52" s="57"/>
      <c r="W52" s="54"/>
      <c r="X52" s="55"/>
      <c r="Y52" s="55"/>
      <c r="Z52" s="55"/>
      <c r="AA52" s="55"/>
      <c r="AB52" s="55"/>
      <c r="AC52" s="55"/>
      <c r="AD52" s="55"/>
      <c r="AE52" s="55"/>
      <c r="AF52" s="55"/>
      <c r="AR52" s="42"/>
      <c r="AS52" s="42"/>
      <c r="AT52" s="64"/>
      <c r="AU52" s="64"/>
      <c r="AV52" s="64"/>
      <c r="AW52" s="64"/>
      <c r="AX52" s="64"/>
      <c r="AY52" s="64"/>
      <c r="AZ52" s="64"/>
    </row>
    <row r="53" spans="10:52" ht="15.75">
      <c r="J53" s="68"/>
      <c r="K53" s="68"/>
      <c r="V53" s="51"/>
      <c r="W53" s="54"/>
      <c r="X53" s="55"/>
      <c r="Y53" s="55"/>
      <c r="Z53" s="55"/>
      <c r="AA53" s="55"/>
      <c r="AB53" s="55"/>
      <c r="AC53" s="55"/>
      <c r="AD53" s="55"/>
      <c r="AE53" s="55"/>
      <c r="AF53" s="55"/>
      <c r="AR53" s="42"/>
      <c r="AS53" s="42"/>
      <c r="AT53" s="64"/>
      <c r="AU53" s="64"/>
      <c r="AV53" s="64"/>
      <c r="AW53" s="64"/>
      <c r="AX53" s="64"/>
      <c r="AY53" s="64"/>
      <c r="AZ53" s="64"/>
    </row>
    <row r="54" spans="10:52" ht="15.75">
      <c r="J54" s="68"/>
      <c r="K54" s="68"/>
      <c r="V54" s="57"/>
      <c r="W54" s="54"/>
      <c r="X54" s="20"/>
      <c r="Y54" s="20"/>
      <c r="Z54" s="55"/>
      <c r="AA54" s="55"/>
      <c r="AB54" s="55"/>
      <c r="AC54" s="20"/>
      <c r="AD54" s="55"/>
      <c r="AE54" s="55"/>
      <c r="AF54" s="55"/>
      <c r="AR54" s="42"/>
      <c r="AS54" s="42"/>
      <c r="AT54" s="64"/>
      <c r="AU54" s="64"/>
      <c r="AV54" s="64"/>
      <c r="AW54" s="64"/>
      <c r="AX54" s="64"/>
      <c r="AY54" s="64"/>
      <c r="AZ54" s="64"/>
    </row>
    <row r="55" spans="22:52" ht="15.75">
      <c r="V55" s="52"/>
      <c r="W55" s="56"/>
      <c r="X55" s="20"/>
      <c r="Y55" s="20"/>
      <c r="Z55" s="20"/>
      <c r="AA55" s="20"/>
      <c r="AB55" s="20"/>
      <c r="AC55" s="20"/>
      <c r="AD55" s="20"/>
      <c r="AE55" s="20"/>
      <c r="AF55" s="20"/>
      <c r="AR55" s="42"/>
      <c r="AS55" s="42"/>
      <c r="AT55" s="64"/>
      <c r="AU55" s="64"/>
      <c r="AV55" s="64"/>
      <c r="AW55" s="64"/>
      <c r="AX55" s="64"/>
      <c r="AY55" s="64"/>
      <c r="AZ55" s="64"/>
    </row>
    <row r="56" spans="22:52" ht="15.75">
      <c r="V56" s="57"/>
      <c r="W56" s="20"/>
      <c r="X56" s="20"/>
      <c r="Y56" s="20"/>
      <c r="Z56" s="47"/>
      <c r="AA56" s="48"/>
      <c r="AB56" s="49"/>
      <c r="AC56" s="20"/>
      <c r="AD56" s="49"/>
      <c r="AE56" s="20"/>
      <c r="AF56" s="20"/>
      <c r="AR56" s="42"/>
      <c r="AS56" s="64"/>
      <c r="AT56" s="64"/>
      <c r="AU56" s="64"/>
      <c r="AV56" s="64"/>
      <c r="AW56" s="64"/>
      <c r="AX56" s="64"/>
      <c r="AY56" s="64"/>
      <c r="AZ56" s="64"/>
    </row>
    <row r="57" spans="22:52" ht="12.75">
      <c r="V57" s="48"/>
      <c r="W57" s="20"/>
      <c r="X57" s="20"/>
      <c r="Y57" s="20"/>
      <c r="Z57" s="47"/>
      <c r="AA57" s="48"/>
      <c r="AB57" s="49"/>
      <c r="AC57" s="20"/>
      <c r="AD57" s="47"/>
      <c r="AE57" s="20"/>
      <c r="AF57" s="20"/>
      <c r="AR57" s="64"/>
      <c r="AS57" s="64"/>
      <c r="AT57" s="64"/>
      <c r="AU57" s="64"/>
      <c r="AV57" s="64"/>
      <c r="AW57" s="64"/>
      <c r="AX57" s="64"/>
      <c r="AY57" s="64"/>
      <c r="AZ57" s="64"/>
    </row>
    <row r="58" spans="22:52" ht="15.75">
      <c r="V58" s="48"/>
      <c r="W58" s="57"/>
      <c r="X58" s="20"/>
      <c r="Y58" s="20"/>
      <c r="Z58" s="47"/>
      <c r="AA58" s="20"/>
      <c r="AB58" s="47"/>
      <c r="AC58" s="20"/>
      <c r="AD58" s="47"/>
      <c r="AE58" s="20"/>
      <c r="AF58" s="47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22:52" ht="15.75">
      <c r="V59" s="48"/>
      <c r="W59" s="51"/>
      <c r="X59" s="20"/>
      <c r="Y59" s="20"/>
      <c r="Z59" s="20"/>
      <c r="AA59" s="20"/>
      <c r="AB59" s="48"/>
      <c r="AC59" s="50"/>
      <c r="AD59" s="20"/>
      <c r="AE59" s="20"/>
      <c r="AF59" s="20"/>
      <c r="AR59" s="64"/>
      <c r="AS59" s="64"/>
      <c r="AT59" s="64"/>
      <c r="AU59" s="64"/>
      <c r="AV59" s="64"/>
      <c r="AW59" s="6"/>
      <c r="AX59" s="64"/>
      <c r="AY59" s="64"/>
      <c r="AZ59" s="6"/>
    </row>
    <row r="60" spans="22:52" ht="15.75">
      <c r="V60" s="48"/>
      <c r="W60" s="57"/>
      <c r="X60" s="48"/>
      <c r="Y60" s="48"/>
      <c r="Z60" s="30"/>
      <c r="AA60" s="20"/>
      <c r="AB60" s="30"/>
      <c r="AC60" s="48"/>
      <c r="AD60" s="30"/>
      <c r="AE60" s="50"/>
      <c r="AF60" s="30"/>
      <c r="AR60" s="64"/>
      <c r="AS60" s="64"/>
      <c r="AT60" s="64"/>
      <c r="AU60" s="64"/>
      <c r="AV60" s="64"/>
      <c r="AW60" s="6"/>
      <c r="AX60" s="64"/>
      <c r="AY60" s="64"/>
      <c r="AZ60" s="6"/>
    </row>
    <row r="61" spans="22:51" ht="15.75">
      <c r="V61" s="48"/>
      <c r="W61" s="52"/>
      <c r="X61" s="48"/>
      <c r="Y61" s="48"/>
      <c r="Z61" s="48"/>
      <c r="AA61" s="48"/>
      <c r="AB61" s="48"/>
      <c r="AC61" s="48"/>
      <c r="AD61" s="48"/>
      <c r="AE61" s="48"/>
      <c r="AF61" s="48"/>
      <c r="AR61" s="6"/>
      <c r="AS61" s="6"/>
      <c r="AT61" s="6"/>
      <c r="AU61" s="6"/>
      <c r="AV61" s="6"/>
      <c r="AX61" s="6"/>
      <c r="AY61" s="6"/>
    </row>
    <row r="62" spans="22:51" ht="15.75">
      <c r="V62" s="48"/>
      <c r="W62" s="57"/>
      <c r="X62" s="48"/>
      <c r="Y62" s="48"/>
      <c r="Z62" s="48"/>
      <c r="AA62" s="48"/>
      <c r="AB62" s="48"/>
      <c r="AC62" s="48"/>
      <c r="AD62" s="48"/>
      <c r="AE62" s="48"/>
      <c r="AF62" s="48"/>
      <c r="AR62" s="6"/>
      <c r="AS62" s="6"/>
      <c r="AT62" s="6"/>
      <c r="AU62" s="6"/>
      <c r="AV62" s="6"/>
      <c r="AX62" s="6"/>
      <c r="AY62" s="6"/>
    </row>
    <row r="63" spans="22:32" ht="12.75">
      <c r="V63" s="20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22:32" ht="12.75">
      <c r="V64" s="20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22:32" ht="12.75">
      <c r="V65" s="20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22:32" ht="12.75">
      <c r="V66" s="20"/>
      <c r="W66" s="48"/>
      <c r="X66" s="20"/>
      <c r="Y66" s="20"/>
      <c r="Z66" s="48"/>
      <c r="AA66" s="48"/>
      <c r="AB66" s="48"/>
      <c r="AC66" s="20"/>
      <c r="AD66" s="48"/>
      <c r="AE66" s="48"/>
      <c r="AF66" s="48"/>
    </row>
    <row r="67" spans="22:32" ht="12.75">
      <c r="V67" s="58"/>
      <c r="W67" s="48"/>
      <c r="X67" s="20"/>
      <c r="Y67" s="20"/>
      <c r="Z67" s="20"/>
      <c r="AA67" s="20"/>
      <c r="AB67" s="20"/>
      <c r="AC67" s="20"/>
      <c r="AD67" s="20"/>
      <c r="AE67" s="20"/>
      <c r="AF67" s="49"/>
    </row>
    <row r="68" spans="22:32" ht="12.75">
      <c r="V68" s="48"/>
      <c r="W68" s="48"/>
      <c r="X68" s="20"/>
      <c r="Y68" s="20"/>
      <c r="Z68" s="20"/>
      <c r="AA68" s="20"/>
      <c r="AB68" s="20"/>
      <c r="AC68" s="20"/>
      <c r="AD68" s="20"/>
      <c r="AE68" s="20"/>
      <c r="AF68" s="49"/>
    </row>
    <row r="69" spans="22:32" ht="12.75">
      <c r="V69" s="48"/>
      <c r="W69" s="20"/>
      <c r="X69" s="55"/>
      <c r="Y69" s="55"/>
      <c r="Z69" s="20"/>
      <c r="AA69" s="20"/>
      <c r="AB69" s="20"/>
      <c r="AC69" s="55"/>
      <c r="AD69" s="20"/>
      <c r="AE69" s="20"/>
      <c r="AF69" s="49"/>
    </row>
    <row r="70" spans="22:32" ht="12.75">
      <c r="V70" s="48"/>
      <c r="W70" s="20"/>
      <c r="X70" s="55"/>
      <c r="Y70" s="55"/>
      <c r="Z70" s="55"/>
      <c r="AA70" s="55"/>
      <c r="AB70" s="55"/>
      <c r="AC70" s="55"/>
      <c r="AD70" s="55"/>
      <c r="AE70" s="55"/>
      <c r="AF70" s="55"/>
    </row>
    <row r="71" spans="22:32" ht="12.75">
      <c r="V71" s="48"/>
      <c r="W71" s="54"/>
      <c r="X71" s="55"/>
      <c r="Y71" s="55"/>
      <c r="Z71" s="55"/>
      <c r="AA71" s="55"/>
      <c r="AB71" s="55"/>
      <c r="AC71" s="55"/>
      <c r="AD71" s="55"/>
      <c r="AE71" s="55"/>
      <c r="AF71" s="55"/>
    </row>
    <row r="72" spans="22:32" ht="12.75">
      <c r="V72" s="48"/>
      <c r="W72" s="54"/>
      <c r="X72" s="55"/>
      <c r="Y72" s="55"/>
      <c r="Z72" s="55"/>
      <c r="AA72" s="55"/>
      <c r="AB72" s="55"/>
      <c r="AC72" s="55"/>
      <c r="AD72" s="55"/>
      <c r="AE72" s="55"/>
      <c r="AF72" s="55"/>
    </row>
    <row r="73" spans="22:32" ht="12.75">
      <c r="V73" s="48"/>
      <c r="W73" s="54"/>
      <c r="X73" s="20"/>
      <c r="Y73" s="20"/>
      <c r="Z73" s="55"/>
      <c r="AA73" s="55"/>
      <c r="AB73" s="55"/>
      <c r="AC73" s="20"/>
      <c r="AD73" s="55"/>
      <c r="AE73" s="55"/>
      <c r="AF73" s="55"/>
    </row>
    <row r="74" spans="22:32" ht="12.75">
      <c r="V74" s="48"/>
      <c r="W74" s="56"/>
      <c r="X74" s="20"/>
      <c r="Y74" s="20"/>
      <c r="Z74" s="20"/>
      <c r="AA74" s="20"/>
      <c r="AB74" s="20"/>
      <c r="AC74" s="20"/>
      <c r="AD74" s="20"/>
      <c r="AE74" s="20"/>
      <c r="AF74" s="20"/>
    </row>
    <row r="75" spans="22:32" ht="12.75">
      <c r="V75" s="48"/>
      <c r="W75" s="20"/>
      <c r="X75" s="48"/>
      <c r="Y75" s="48"/>
      <c r="Z75" s="47"/>
      <c r="AA75" s="48"/>
      <c r="AB75" s="49"/>
      <c r="AC75" s="48"/>
      <c r="AD75" s="49"/>
      <c r="AE75" s="20"/>
      <c r="AF75" s="20"/>
    </row>
    <row r="76" spans="22:32" ht="12.75">
      <c r="V76" s="48"/>
      <c r="W76" s="20"/>
      <c r="X76" s="48"/>
      <c r="Y76" s="48"/>
      <c r="Z76" s="48"/>
      <c r="AA76" s="48"/>
      <c r="AB76" s="48"/>
      <c r="AC76" s="48"/>
      <c r="AD76" s="48"/>
      <c r="AE76" s="48"/>
      <c r="AF76" s="48"/>
    </row>
    <row r="77" spans="22:32" ht="12.75">
      <c r="V77" s="48"/>
      <c r="W77" s="58"/>
      <c r="X77" s="48"/>
      <c r="Y77" s="48"/>
      <c r="Z77" s="59"/>
      <c r="AA77" s="48"/>
      <c r="AB77" s="59"/>
      <c r="AC77" s="48"/>
      <c r="AD77" s="59"/>
      <c r="AE77" s="48"/>
      <c r="AF77" s="48"/>
    </row>
    <row r="78" spans="22:32" ht="12.75">
      <c r="V78" s="48"/>
      <c r="W78" s="48"/>
      <c r="X78" s="48"/>
      <c r="Y78" s="48"/>
      <c r="Z78" s="60"/>
      <c r="AA78" s="48"/>
      <c r="AB78" s="60"/>
      <c r="AC78" s="48"/>
      <c r="AD78" s="48"/>
      <c r="AE78" s="48"/>
      <c r="AF78" s="48"/>
    </row>
    <row r="79" spans="22:32" ht="12.75">
      <c r="V79" s="48"/>
      <c r="W79" s="48"/>
      <c r="X79" s="48"/>
      <c r="Y79" s="48"/>
      <c r="Z79" s="60"/>
      <c r="AA79" s="48"/>
      <c r="AB79" s="60"/>
      <c r="AC79" s="62"/>
      <c r="AD79" s="48"/>
      <c r="AE79" s="48"/>
      <c r="AF79" s="48"/>
    </row>
    <row r="80" spans="22:32" ht="12.75">
      <c r="V80" s="48"/>
      <c r="W80" s="48"/>
      <c r="X80" s="48"/>
      <c r="Y80" s="48"/>
      <c r="Z80" s="61"/>
      <c r="AA80" s="61"/>
      <c r="AB80" s="61"/>
      <c r="AC80" s="62"/>
      <c r="AD80" s="62"/>
      <c r="AE80" s="48"/>
      <c r="AF80" s="48"/>
    </row>
    <row r="81" spans="22:32" ht="12.75">
      <c r="V81" s="48"/>
      <c r="W81" s="48"/>
      <c r="X81" s="48"/>
      <c r="Y81" s="48"/>
      <c r="Z81" s="61"/>
      <c r="AA81" s="61"/>
      <c r="AB81" s="61"/>
      <c r="AC81" s="62"/>
      <c r="AD81" s="62"/>
      <c r="AE81" s="48"/>
      <c r="AF81" s="48"/>
    </row>
    <row r="82" spans="22:32" ht="12.75">
      <c r="V82" s="48"/>
      <c r="W82" s="48"/>
      <c r="X82" s="48"/>
      <c r="Y82" s="48"/>
      <c r="Z82" s="61"/>
      <c r="AA82" s="61"/>
      <c r="AB82" s="61"/>
      <c r="AC82" s="62"/>
      <c r="AD82" s="62"/>
      <c r="AE82" s="48"/>
      <c r="AF82" s="48"/>
    </row>
    <row r="83" spans="22:32" ht="12.75">
      <c r="V83" s="48"/>
      <c r="W83" s="48"/>
      <c r="X83" s="48"/>
      <c r="Y83" s="48"/>
      <c r="Z83" s="61"/>
      <c r="AA83" s="61"/>
      <c r="AB83" s="61"/>
      <c r="AC83" s="62"/>
      <c r="AD83" s="62"/>
      <c r="AE83" s="48"/>
      <c r="AF83" s="48"/>
    </row>
    <row r="84" spans="22:32" ht="12.75">
      <c r="V84" s="48"/>
      <c r="W84" s="48"/>
      <c r="X84" s="48"/>
      <c r="Y84" s="48"/>
      <c r="Z84" s="61"/>
      <c r="AA84" s="61"/>
      <c r="AB84" s="61"/>
      <c r="AC84" s="62"/>
      <c r="AD84" s="62"/>
      <c r="AE84" s="48"/>
      <c r="AF84" s="48"/>
    </row>
    <row r="85" spans="22:32" ht="12.75">
      <c r="V85" s="48"/>
      <c r="W85" s="48"/>
      <c r="X85" s="48"/>
      <c r="Y85" s="48"/>
      <c r="Z85" s="61"/>
      <c r="AA85" s="61"/>
      <c r="AB85" s="61"/>
      <c r="AC85" s="62"/>
      <c r="AD85" s="62"/>
      <c r="AE85" s="48"/>
      <c r="AF85" s="48"/>
    </row>
    <row r="86" spans="22:32" ht="12.75">
      <c r="V86" s="48"/>
      <c r="W86" s="48"/>
      <c r="X86" s="48"/>
      <c r="Y86" s="48"/>
      <c r="Z86" s="61"/>
      <c r="AA86" s="61"/>
      <c r="AB86" s="61"/>
      <c r="AC86" s="62"/>
      <c r="AD86" s="62"/>
      <c r="AE86" s="48"/>
      <c r="AF86" s="48"/>
    </row>
    <row r="87" spans="22:32" ht="12.75">
      <c r="V87" s="48"/>
      <c r="W87" s="48"/>
      <c r="X87" s="48"/>
      <c r="Y87" s="48"/>
      <c r="Z87" s="61"/>
      <c r="AA87" s="61"/>
      <c r="AB87" s="61"/>
      <c r="AC87" s="62"/>
      <c r="AD87" s="62"/>
      <c r="AE87" s="48"/>
      <c r="AF87" s="48"/>
    </row>
    <row r="88" spans="22:32" ht="12.75">
      <c r="V88" s="48"/>
      <c r="W88" s="48"/>
      <c r="X88" s="48"/>
      <c r="Y88" s="48"/>
      <c r="Z88" s="61"/>
      <c r="AA88" s="61"/>
      <c r="AB88" s="61"/>
      <c r="AC88" s="62"/>
      <c r="AD88" s="62"/>
      <c r="AE88" s="48"/>
      <c r="AF88" s="48"/>
    </row>
    <row r="89" spans="16:32" ht="12.75">
      <c r="P89" s="53"/>
      <c r="V89" s="48"/>
      <c r="W89" s="48"/>
      <c r="X89" s="48"/>
      <c r="Y89" s="48"/>
      <c r="Z89" s="61"/>
      <c r="AA89" s="61"/>
      <c r="AB89" s="61"/>
      <c r="AC89" s="62"/>
      <c r="AD89" s="62"/>
      <c r="AE89" s="48"/>
      <c r="AF89" s="48"/>
    </row>
    <row r="90" spans="15:32" ht="12.75">
      <c r="O90" s="53"/>
      <c r="P90" s="53"/>
      <c r="Q90" s="53"/>
      <c r="R90" s="53"/>
      <c r="S90" s="53"/>
      <c r="T90" s="53"/>
      <c r="V90" s="48"/>
      <c r="W90" s="48"/>
      <c r="X90" s="48"/>
      <c r="Y90" s="48"/>
      <c r="Z90" s="61"/>
      <c r="AA90" s="61"/>
      <c r="AB90" s="61"/>
      <c r="AC90" s="62"/>
      <c r="AD90" s="62"/>
      <c r="AE90" s="48"/>
      <c r="AF90" s="48"/>
    </row>
    <row r="91" spans="15:32" ht="12.75">
      <c r="O91" s="53"/>
      <c r="P91" s="53"/>
      <c r="Q91" s="53"/>
      <c r="R91" s="53"/>
      <c r="S91" s="53"/>
      <c r="T91" s="53"/>
      <c r="V91" s="48"/>
      <c r="W91" s="48"/>
      <c r="X91" s="48"/>
      <c r="Y91" s="48"/>
      <c r="Z91" s="63"/>
      <c r="AA91" s="61"/>
      <c r="AB91" s="63"/>
      <c r="AC91" s="62"/>
      <c r="AD91" s="62"/>
      <c r="AE91" s="48"/>
      <c r="AF91" s="48"/>
    </row>
    <row r="92" spans="15:32" ht="12.75">
      <c r="O92" s="53"/>
      <c r="Q92" s="53"/>
      <c r="R92" s="53"/>
      <c r="S92" s="53"/>
      <c r="T92" s="53"/>
      <c r="V92" s="48"/>
      <c r="W92" s="48"/>
      <c r="X92" s="48"/>
      <c r="Y92" s="48"/>
      <c r="Z92" s="61"/>
      <c r="AA92" s="61"/>
      <c r="AB92" s="61"/>
      <c r="AC92" s="61"/>
      <c r="AD92" s="62"/>
      <c r="AE92" s="48"/>
      <c r="AF92" s="48"/>
    </row>
    <row r="93" spans="18:32" ht="12.75">
      <c r="R93" s="53"/>
      <c r="S93" s="53"/>
      <c r="T93" s="53"/>
      <c r="V93" s="48"/>
      <c r="W93" s="48"/>
      <c r="X93" s="48"/>
      <c r="Y93" s="48"/>
      <c r="Z93" s="61"/>
      <c r="AA93" s="61"/>
      <c r="AB93" s="61"/>
      <c r="AC93" s="61"/>
      <c r="AD93" s="61"/>
      <c r="AE93" s="61"/>
      <c r="AF93" s="48"/>
    </row>
    <row r="94" spans="18:32" ht="12.75">
      <c r="R94" s="53"/>
      <c r="S94" s="53"/>
      <c r="T94" s="53"/>
      <c r="V94" s="48"/>
      <c r="W94" s="48"/>
      <c r="X94" s="48"/>
      <c r="Y94" s="48"/>
      <c r="Z94" s="61"/>
      <c r="AA94" s="61"/>
      <c r="AB94" s="61"/>
      <c r="AC94" s="61"/>
      <c r="AD94" s="61"/>
      <c r="AE94" s="61"/>
      <c r="AF94" s="48"/>
    </row>
    <row r="95" spans="18:32" ht="12.75">
      <c r="R95" s="53"/>
      <c r="S95" s="53"/>
      <c r="T95" s="53"/>
      <c r="V95" s="48"/>
      <c r="W95" s="48"/>
      <c r="X95" s="48"/>
      <c r="Y95" s="48"/>
      <c r="Z95" s="61"/>
      <c r="AA95" s="61"/>
      <c r="AB95" s="61"/>
      <c r="AC95" s="61"/>
      <c r="AD95" s="61"/>
      <c r="AE95" s="61"/>
      <c r="AF95" s="48"/>
    </row>
    <row r="96" spans="18:32" ht="12.75">
      <c r="R96" s="53"/>
      <c r="S96" s="53"/>
      <c r="T96" s="53"/>
      <c r="V96" s="48"/>
      <c r="W96" s="48"/>
      <c r="X96" s="48"/>
      <c r="Y96" s="48"/>
      <c r="Z96" s="61"/>
      <c r="AA96" s="61"/>
      <c r="AB96" s="61"/>
      <c r="AC96" s="61"/>
      <c r="AD96" s="61"/>
      <c r="AE96" s="61"/>
      <c r="AF96" s="48"/>
    </row>
    <row r="97" spans="18:32" ht="12.75">
      <c r="R97" s="53"/>
      <c r="S97" s="53"/>
      <c r="T97" s="53"/>
      <c r="V97" s="48"/>
      <c r="W97" s="48"/>
      <c r="X97" s="48"/>
      <c r="Y97" s="48"/>
      <c r="Z97" s="61"/>
      <c r="AA97" s="61"/>
      <c r="AB97" s="61"/>
      <c r="AC97" s="61"/>
      <c r="AD97" s="61"/>
      <c r="AE97" s="61"/>
      <c r="AF97" s="48"/>
    </row>
    <row r="98" spans="18:32" ht="12.75">
      <c r="R98" s="53"/>
      <c r="S98" s="53"/>
      <c r="T98" s="53"/>
      <c r="W98" s="48"/>
      <c r="X98" s="48"/>
      <c r="Y98" s="48"/>
      <c r="Z98" s="61"/>
      <c r="AA98" s="61"/>
      <c r="AB98" s="61"/>
      <c r="AC98" s="61"/>
      <c r="AD98" s="61"/>
      <c r="AE98" s="61"/>
      <c r="AF98" s="48"/>
    </row>
    <row r="99" spans="18:32" ht="12.75">
      <c r="R99" s="53"/>
      <c r="S99" s="53"/>
      <c r="T99" s="53"/>
      <c r="W99" s="48"/>
      <c r="X99" s="48"/>
      <c r="Y99" s="48"/>
      <c r="Z99" s="61"/>
      <c r="AA99" s="61"/>
      <c r="AB99" s="61"/>
      <c r="AC99" s="61"/>
      <c r="AD99" s="61"/>
      <c r="AE99" s="61"/>
      <c r="AF99" s="48"/>
    </row>
    <row r="100" spans="23:32" ht="12.75">
      <c r="W100" s="48"/>
      <c r="X100" s="48"/>
      <c r="Y100" s="48"/>
      <c r="Z100" s="61"/>
      <c r="AA100" s="61"/>
      <c r="AB100" s="61"/>
      <c r="AC100" s="61"/>
      <c r="AD100" s="61"/>
      <c r="AE100" s="61"/>
      <c r="AF100" s="48"/>
    </row>
    <row r="101" spans="23:32" ht="12.75">
      <c r="W101" s="48"/>
      <c r="X101" s="48"/>
      <c r="Y101" s="48"/>
      <c r="Z101" s="61"/>
      <c r="AA101" s="61"/>
      <c r="AB101" s="61"/>
      <c r="AC101" s="61"/>
      <c r="AD101" s="61"/>
      <c r="AE101" s="61"/>
      <c r="AF101" s="48"/>
    </row>
    <row r="102" spans="23:32" ht="12.75">
      <c r="W102" s="48"/>
      <c r="X102" s="48"/>
      <c r="Y102" s="48"/>
      <c r="Z102" s="63"/>
      <c r="AA102" s="61"/>
      <c r="AB102" s="61"/>
      <c r="AC102" s="61"/>
      <c r="AD102" s="61"/>
      <c r="AE102" s="61"/>
      <c r="AF102" s="48"/>
    </row>
    <row r="103" spans="23:32" ht="12.75">
      <c r="W103" s="48"/>
      <c r="X103" s="48"/>
      <c r="Y103" s="48"/>
      <c r="Z103" s="61"/>
      <c r="AA103" s="61"/>
      <c r="AB103" s="61"/>
      <c r="AC103" s="61"/>
      <c r="AD103" s="61"/>
      <c r="AE103" s="61"/>
      <c r="AF103" s="48"/>
    </row>
    <row r="104" spans="23:32" ht="12.75">
      <c r="W104" s="48"/>
      <c r="X104" s="48"/>
      <c r="Y104" s="48"/>
      <c r="Z104" s="61"/>
      <c r="AA104" s="61"/>
      <c r="AB104" s="61"/>
      <c r="AC104" s="61"/>
      <c r="AD104" s="61"/>
      <c r="AE104" s="61"/>
      <c r="AF104" s="48"/>
    </row>
    <row r="105" spans="23:32" ht="12.75">
      <c r="W105" s="48"/>
      <c r="X105" s="48"/>
      <c r="Y105" s="48"/>
      <c r="Z105" s="61"/>
      <c r="AA105" s="61"/>
      <c r="AB105" s="61"/>
      <c r="AC105" s="61"/>
      <c r="AD105" s="61"/>
      <c r="AE105" s="61"/>
      <c r="AF105" s="48"/>
    </row>
    <row r="106" spans="23:32" ht="12.75">
      <c r="W106" s="48"/>
      <c r="Z106" s="61"/>
      <c r="AA106" s="61"/>
      <c r="AB106" s="61"/>
      <c r="AC106" s="53"/>
      <c r="AD106" s="61"/>
      <c r="AE106" s="61"/>
      <c r="AF106" s="48"/>
    </row>
    <row r="107" spans="23:31" ht="12.75">
      <c r="W107" s="48"/>
      <c r="Z107" s="53"/>
      <c r="AA107" s="53"/>
      <c r="AB107" s="53"/>
      <c r="AC107" s="53"/>
      <c r="AD107" s="53"/>
      <c r="AE107" s="53"/>
    </row>
    <row r="108" spans="26:31" ht="12.75">
      <c r="Z108" s="53"/>
      <c r="AA108" s="53"/>
      <c r="AB108" s="53"/>
      <c r="AC108" s="53"/>
      <c r="AD108" s="53"/>
      <c r="AE108" s="53"/>
    </row>
    <row r="109" spans="26:31" ht="12.75">
      <c r="Z109" s="53"/>
      <c r="AA109" s="53"/>
      <c r="AB109" s="53"/>
      <c r="AC109" s="53"/>
      <c r="AD109" s="53"/>
      <c r="AE109" s="53"/>
    </row>
    <row r="110" spans="26:31" ht="12.75">
      <c r="Z110" s="53"/>
      <c r="AA110" s="53"/>
      <c r="AB110" s="53"/>
      <c r="AC110" s="53"/>
      <c r="AD110" s="53"/>
      <c r="AE110" s="53"/>
    </row>
    <row r="111" spans="29:31" ht="12.75">
      <c r="AC111" s="53"/>
      <c r="AD111" s="53"/>
      <c r="AE111" s="53"/>
    </row>
    <row r="112" spans="29:31" ht="12.75">
      <c r="AC112" s="53"/>
      <c r="AD112" s="53"/>
      <c r="AE112" s="53"/>
    </row>
    <row r="113" spans="29:31" ht="12.75">
      <c r="AC113" s="53"/>
      <c r="AD113" s="53"/>
      <c r="AE113" s="53"/>
    </row>
    <row r="114" spans="29:31" ht="12.75">
      <c r="AC114" s="53"/>
      <c r="AD114" s="53"/>
      <c r="AE114" s="53"/>
    </row>
    <row r="115" spans="29:31" ht="12.75">
      <c r="AC115" s="53"/>
      <c r="AD115" s="53"/>
      <c r="AE115" s="53"/>
    </row>
    <row r="116" spans="29:31" ht="12.75">
      <c r="AC116" s="53"/>
      <c r="AD116" s="53"/>
      <c r="AE116" s="53"/>
    </row>
    <row r="117" spans="30:31" ht="12.75">
      <c r="AD117" s="53"/>
      <c r="AE117" s="53"/>
    </row>
  </sheetData>
  <mergeCells count="9">
    <mergeCell ref="U3:V3"/>
    <mergeCell ref="AR9:AZ9"/>
    <mergeCell ref="AR8:AZ8"/>
    <mergeCell ref="AR10:AZ10"/>
    <mergeCell ref="AR7:AZ7"/>
    <mergeCell ref="L9:V9"/>
    <mergeCell ref="L10:V10"/>
    <mergeCell ref="L7:V7"/>
    <mergeCell ref="L8:V8"/>
  </mergeCells>
  <printOptions horizontalCentered="1"/>
  <pageMargins left="0.75" right="0.7" top="1" bottom="1" header="0.5" footer="0.5"/>
  <pageSetup horizontalDpi="600" verticalDpi="600" orientation="portrait" scale="88" r:id="rId2"/>
  <rowBreaks count="1" manualBreakCount="1">
    <brk id="48" max="51" man="1"/>
  </rowBreaks>
  <colBreaks count="3" manualBreakCount="3">
    <brk id="31" min="2" max="60" man="1"/>
    <brk id="43" max="65535" man="1"/>
    <brk id="5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9"/>
  <sheetViews>
    <sheetView zoomScale="80" zoomScaleNormal="80" workbookViewId="0" topLeftCell="A30">
      <selection activeCell="E44" sqref="E44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12.57421875" style="0" customWidth="1"/>
    <col min="5" max="5" width="9.7109375" style="0" customWidth="1"/>
    <col min="6" max="6" width="12.7109375" style="0" customWidth="1"/>
    <col min="7" max="7" width="9.7109375" style="0" customWidth="1"/>
    <col min="8" max="8" width="11.421875" style="0" customWidth="1"/>
    <col min="9" max="9" width="11.7109375" style="0" customWidth="1"/>
    <col min="10" max="10" width="13.421875" style="0" customWidth="1"/>
    <col min="14" max="14" width="10.7109375" style="0" customWidth="1"/>
    <col min="15" max="15" width="7.8515625" style="0" customWidth="1"/>
    <col min="16" max="16" width="9.7109375" style="0" customWidth="1"/>
    <col min="17" max="17" width="7.8515625" style="0" customWidth="1"/>
    <col min="18" max="18" width="9.7109375" style="0" customWidth="1"/>
    <col min="19" max="19" width="7.8515625" style="0" customWidth="1"/>
    <col min="20" max="20" width="9.7109375" style="0" customWidth="1"/>
    <col min="21" max="21" width="15.00390625" style="0" customWidth="1"/>
    <col min="22" max="22" width="13.140625" style="0" customWidth="1"/>
    <col min="24" max="24" width="9.7109375" style="0" customWidth="1"/>
    <col min="25" max="25" width="7.8515625" style="0" customWidth="1"/>
    <col min="26" max="26" width="9.7109375" style="0" customWidth="1"/>
    <col min="27" max="27" width="7.8515625" style="0" customWidth="1"/>
    <col min="28" max="28" width="9.7109375" style="0" customWidth="1"/>
    <col min="29" max="29" width="7.8515625" style="0" customWidth="1"/>
    <col min="30" max="30" width="9.7109375" style="0" customWidth="1"/>
    <col min="31" max="31" width="3.421875" style="0" customWidth="1"/>
    <col min="32" max="32" width="15.00390625" style="0" customWidth="1"/>
    <col min="33" max="33" width="13.140625" style="0" customWidth="1"/>
    <col min="34" max="34" width="9.00390625" style="0" customWidth="1"/>
    <col min="35" max="35" width="9.7109375" style="0" customWidth="1"/>
    <col min="36" max="36" width="7.8515625" style="0" customWidth="1"/>
    <col min="37" max="37" width="9.7109375" style="0" customWidth="1"/>
    <col min="38" max="38" width="7.8515625" style="0" customWidth="1"/>
    <col min="39" max="39" width="9.7109375" style="0" customWidth="1"/>
    <col min="40" max="40" width="7.8515625" style="0" customWidth="1"/>
    <col min="41" max="41" width="9.7109375" style="0" customWidth="1"/>
    <col min="42" max="42" width="15.8515625" style="0" customWidth="1"/>
    <col min="44" max="44" width="9.7109375" style="0" customWidth="1"/>
    <col min="45" max="45" width="5.28125" style="0" customWidth="1"/>
    <col min="46" max="46" width="9.7109375" style="0" customWidth="1"/>
    <col min="47" max="47" width="5.421875" style="0" customWidth="1"/>
    <col min="48" max="48" width="9.7109375" style="0" customWidth="1"/>
    <col min="49" max="49" width="5.28125" style="0" customWidth="1"/>
    <col min="50" max="50" width="9.7109375" style="0" customWidth="1"/>
    <col min="51" max="51" width="5.421875" style="0" customWidth="1"/>
    <col min="52" max="52" width="9.7109375" style="0" customWidth="1"/>
    <col min="53" max="53" width="15.8515625" style="0" customWidth="1"/>
    <col min="55" max="55" width="9.7109375" style="0" customWidth="1"/>
    <col min="56" max="56" width="5.28125" style="0" customWidth="1"/>
    <col min="57" max="57" width="9.7109375" style="0" customWidth="1"/>
    <col min="58" max="58" width="6.57421875" style="0" customWidth="1"/>
    <col min="59" max="59" width="9.7109375" style="0" customWidth="1"/>
    <col min="60" max="60" width="5.28125" style="0" customWidth="1"/>
    <col min="61" max="61" width="9.7109375" style="0" customWidth="1"/>
    <col min="62" max="62" width="5.421875" style="0" customWidth="1"/>
    <col min="63" max="63" width="9.7109375" style="0" customWidth="1"/>
    <col min="64" max="64" width="9.28125" style="0" bestFit="1" customWidth="1"/>
  </cols>
  <sheetData>
    <row r="1" spans="1:41" ht="12.75">
      <c r="A1" s="1">
        <v>80</v>
      </c>
      <c r="B1" s="2"/>
      <c r="C1" s="2"/>
      <c r="D1" s="2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2.75">
      <c r="A2" s="35" t="s">
        <v>0</v>
      </c>
      <c r="B2" s="34"/>
      <c r="C2" s="34"/>
      <c r="D2" s="34"/>
      <c r="E2" s="34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31:41" ht="12.75"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3:63" ht="12.75">
      <c r="C4" s="6"/>
      <c r="D4" s="6"/>
      <c r="E4" s="6"/>
      <c r="F4" s="6"/>
      <c r="G4" s="6"/>
      <c r="H4" s="6"/>
      <c r="I4" s="8" t="s">
        <v>124</v>
      </c>
      <c r="K4" s="6"/>
      <c r="L4" s="6"/>
      <c r="M4" s="6"/>
      <c r="N4" s="6"/>
      <c r="O4" s="6"/>
      <c r="P4" s="6"/>
      <c r="Q4" s="6"/>
      <c r="R4" s="6"/>
      <c r="S4" s="6"/>
      <c r="T4" s="8" t="str">
        <f>+I4</f>
        <v>RP-2001-0032</v>
      </c>
      <c r="V4" s="6"/>
      <c r="W4" s="6"/>
      <c r="X4" s="6"/>
      <c r="Y4" s="6"/>
      <c r="Z4" s="6"/>
      <c r="AA4" s="6"/>
      <c r="AB4" s="6"/>
      <c r="AC4" s="6"/>
      <c r="AE4" s="8" t="str">
        <f>+I4</f>
        <v>RP-2001-0032</v>
      </c>
      <c r="AF4" s="68"/>
      <c r="AG4" s="64"/>
      <c r="AH4" s="64"/>
      <c r="AI4" s="64"/>
      <c r="AJ4" s="64"/>
      <c r="AK4" s="64"/>
      <c r="AL4" s="64"/>
      <c r="AM4" s="64"/>
      <c r="AN4" s="64"/>
      <c r="AO4" s="81" t="str">
        <f>+I4</f>
        <v>RP-2001-0032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81" t="str">
        <f>+I4</f>
        <v>RP-2001-0032</v>
      </c>
      <c r="BA4" s="6"/>
      <c r="BB4" s="6"/>
      <c r="BC4" s="6"/>
      <c r="BD4" s="6"/>
      <c r="BE4" s="6"/>
      <c r="BF4" s="6"/>
      <c r="BG4" s="6"/>
      <c r="BH4" s="6"/>
      <c r="BI4" s="6"/>
      <c r="BJ4" s="6"/>
      <c r="BK4" s="8" t="str">
        <f>+I4</f>
        <v>RP-2001-0032</v>
      </c>
    </row>
    <row r="5" spans="1:63" ht="12.75">
      <c r="A5" s="6"/>
      <c r="B5" s="6"/>
      <c r="C5" s="6"/>
      <c r="D5" s="6"/>
      <c r="E5" s="6"/>
      <c r="F5" s="6"/>
      <c r="G5" s="6"/>
      <c r="H5" s="6"/>
      <c r="I5" s="8" t="s">
        <v>130</v>
      </c>
      <c r="J5" s="6"/>
      <c r="S5" s="6"/>
      <c r="T5" s="8" t="str">
        <f>I5</f>
        <v>Appendix C</v>
      </c>
      <c r="U5" s="6"/>
      <c r="V5" s="6"/>
      <c r="W5" s="6"/>
      <c r="X5" s="6"/>
      <c r="Y5" s="6"/>
      <c r="Z5" s="6"/>
      <c r="AA5" s="6"/>
      <c r="AB5" s="6"/>
      <c r="AC5" s="6"/>
      <c r="AE5" s="8" t="s">
        <v>130</v>
      </c>
      <c r="AG5" s="64"/>
      <c r="AH5" s="64"/>
      <c r="AI5" s="64"/>
      <c r="AJ5" s="64"/>
      <c r="AK5" s="64"/>
      <c r="AL5" s="64"/>
      <c r="AM5" s="64"/>
      <c r="AN5" s="64"/>
      <c r="AO5" s="81" t="s">
        <v>130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81" t="s">
        <v>130</v>
      </c>
      <c r="BA5" s="200" t="s">
        <v>92</v>
      </c>
      <c r="BB5" s="200"/>
      <c r="BC5" s="200"/>
      <c r="BD5" s="200"/>
      <c r="BE5" s="200"/>
      <c r="BF5" s="200"/>
      <c r="BG5" s="200"/>
      <c r="BH5" s="200"/>
      <c r="BI5" s="200"/>
      <c r="BJ5" s="200"/>
      <c r="BK5" s="200"/>
    </row>
    <row r="6" spans="1:63" ht="12.75">
      <c r="A6" s="6"/>
      <c r="B6" s="6"/>
      <c r="C6" s="6"/>
      <c r="D6" s="6"/>
      <c r="E6" s="6"/>
      <c r="F6" s="6"/>
      <c r="G6" s="6"/>
      <c r="H6" s="6"/>
      <c r="I6" s="70" t="s">
        <v>96</v>
      </c>
      <c r="J6" s="6"/>
      <c r="K6" s="6"/>
      <c r="L6" s="6"/>
      <c r="M6" s="6"/>
      <c r="N6" s="6"/>
      <c r="O6" s="6"/>
      <c r="P6" s="6"/>
      <c r="Q6" s="6"/>
      <c r="R6" s="6"/>
      <c r="S6" s="6"/>
      <c r="T6" s="8" t="s">
        <v>95</v>
      </c>
      <c r="U6" s="6"/>
      <c r="V6" s="6"/>
      <c r="W6" s="6"/>
      <c r="X6" s="6"/>
      <c r="Y6" s="6"/>
      <c r="Z6" s="6"/>
      <c r="AA6" s="6"/>
      <c r="AB6" s="6"/>
      <c r="AC6" s="6"/>
      <c r="AE6" s="8" t="s">
        <v>94</v>
      </c>
      <c r="AF6" s="64"/>
      <c r="AG6" s="64"/>
      <c r="AH6" s="64"/>
      <c r="AI6" s="64"/>
      <c r="AJ6" s="64"/>
      <c r="AK6" s="64"/>
      <c r="AL6" s="64"/>
      <c r="AM6" s="64"/>
      <c r="AN6" s="64"/>
      <c r="AO6" s="81" t="s">
        <v>93</v>
      </c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81" t="s">
        <v>91</v>
      </c>
      <c r="BA6" s="45" t="str">
        <f>+A7</f>
        <v>ENBRIDGE CONSUMERS GAS </v>
      </c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ht="12.75">
      <c r="A7" s="203" t="s">
        <v>88</v>
      </c>
      <c r="B7" s="203"/>
      <c r="C7" s="203"/>
      <c r="D7" s="203"/>
      <c r="E7" s="203"/>
      <c r="F7" s="203"/>
      <c r="G7" s="203"/>
      <c r="H7" s="203"/>
      <c r="I7" s="203"/>
      <c r="J7" s="9" t="str">
        <f>+A7</f>
        <v>ENBRIDGE CONSUMERS GAS 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203" t="str">
        <f>+A7</f>
        <v>ENBRIDGE CONSUMERS GAS </v>
      </c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83" t="str">
        <f>+A7</f>
        <v>ENBRIDGE CONSUMERS GAS </v>
      </c>
      <c r="AG7" s="45"/>
      <c r="AH7" s="45"/>
      <c r="AI7" s="45"/>
      <c r="AJ7" s="45"/>
      <c r="AK7" s="45"/>
      <c r="AL7" s="45"/>
      <c r="AM7" s="45"/>
      <c r="AN7" s="45"/>
      <c r="AO7" s="45"/>
      <c r="AP7" s="83" t="str">
        <f>+A7</f>
        <v>ENBRIDGE CONSUMERS GAS 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 t="s">
        <v>4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ht="12.75">
      <c r="A8" s="203" t="s">
        <v>1</v>
      </c>
      <c r="B8" s="203"/>
      <c r="C8" s="203"/>
      <c r="D8" s="203"/>
      <c r="E8" s="203"/>
      <c r="F8" s="203"/>
      <c r="G8" s="203"/>
      <c r="H8" s="203"/>
      <c r="I8" s="203"/>
      <c r="J8" s="9" t="s">
        <v>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203" t="s">
        <v>3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83" t="s">
        <v>79</v>
      </c>
      <c r="AG8" s="45"/>
      <c r="AH8" s="45"/>
      <c r="AI8" s="45"/>
      <c r="AJ8" s="45"/>
      <c r="AK8" s="45"/>
      <c r="AL8" s="45"/>
      <c r="AM8" s="45"/>
      <c r="AN8" s="45"/>
      <c r="AO8" s="45"/>
      <c r="AP8" s="83" t="s">
        <v>4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 t="str">
        <f>+A9</f>
        <v>FOR THE YEAR ENDING SEPTEMBER 30, 2002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ht="12.75">
      <c r="A9" s="204" t="s">
        <v>125</v>
      </c>
      <c r="B9" s="204"/>
      <c r="C9" s="204"/>
      <c r="D9" s="204"/>
      <c r="E9" s="204"/>
      <c r="F9" s="204"/>
      <c r="G9" s="204"/>
      <c r="H9" s="204"/>
      <c r="I9" s="204"/>
      <c r="J9" s="9" t="str">
        <f>+A9</f>
        <v>FOR THE YEAR ENDING SEPTEMBER 30, 2002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203" t="str">
        <f>+A9</f>
        <v>FOR THE YEAR ENDING SEPTEMBER 30, 2002</v>
      </c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83" t="str">
        <f>+A9</f>
        <v>FOR THE YEAR ENDING SEPTEMBER 30, 2002</v>
      </c>
      <c r="AG9" s="45"/>
      <c r="AH9" s="45"/>
      <c r="AI9" s="45"/>
      <c r="AJ9" s="45"/>
      <c r="AK9" s="45"/>
      <c r="AL9" s="45"/>
      <c r="AM9" s="45"/>
      <c r="AN9" s="45"/>
      <c r="AO9" s="45"/>
      <c r="AP9" s="83" t="str">
        <f>+A9</f>
        <v>FOR THE YEAR ENDING SEPTEMBER 30, 2002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 t="s">
        <v>5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12.75">
      <c r="A10" s="202" t="s">
        <v>5</v>
      </c>
      <c r="B10" s="202"/>
      <c r="C10" s="202"/>
      <c r="D10" s="202"/>
      <c r="E10" s="202"/>
      <c r="F10" s="202"/>
      <c r="G10" s="202"/>
      <c r="H10" s="202"/>
      <c r="I10" s="202"/>
      <c r="J10" s="11" t="s">
        <v>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2" t="s">
        <v>5</v>
      </c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84" t="s">
        <v>5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84" t="s">
        <v>5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14" t="s">
        <v>10</v>
      </c>
      <c r="BB10" s="6"/>
      <c r="BD10" s="11"/>
      <c r="BE10" s="11"/>
      <c r="BF10" s="16"/>
      <c r="BH10" s="6"/>
      <c r="BI10" s="6"/>
      <c r="BJ10" s="6"/>
      <c r="BK10" s="6"/>
    </row>
    <row r="11" spans="1:62" ht="12.75">
      <c r="A11" s="36"/>
      <c r="B11" s="36"/>
      <c r="C11" s="36"/>
      <c r="D11" s="36"/>
      <c r="E11" s="36"/>
      <c r="F11" s="36"/>
      <c r="G11" s="36"/>
      <c r="H11" s="36"/>
      <c r="I11" s="36"/>
      <c r="U11" s="6"/>
      <c r="V11" s="6"/>
      <c r="W11" s="6"/>
      <c r="X11" s="6"/>
      <c r="Y11" s="6"/>
      <c r="Z11" s="6"/>
      <c r="AA11" s="6"/>
      <c r="AB11" s="36" t="s">
        <v>53</v>
      </c>
      <c r="AC11" s="6"/>
      <c r="AD11" s="6"/>
      <c r="AE11" s="36"/>
      <c r="AF11" s="84"/>
      <c r="AG11" s="45"/>
      <c r="AH11" s="45"/>
      <c r="AI11" s="45"/>
      <c r="AJ11" s="45"/>
      <c r="AK11" s="45"/>
      <c r="AL11" s="45"/>
      <c r="AM11" s="45"/>
      <c r="AN11" s="45"/>
      <c r="AO11" s="45"/>
      <c r="AP11" s="84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15" t="s">
        <v>131</v>
      </c>
      <c r="BB11" s="6"/>
      <c r="BC11" s="36" t="s">
        <v>13</v>
      </c>
      <c r="BD11" s="8"/>
      <c r="BF11" s="13"/>
      <c r="BG11" s="37" t="s">
        <v>14</v>
      </c>
      <c r="BH11" s="11"/>
      <c r="BI11" s="37" t="s">
        <v>15</v>
      </c>
      <c r="BJ11" s="11"/>
    </row>
    <row r="12" spans="1:63" ht="12.75">
      <c r="A12" s="36"/>
      <c r="B12" s="36"/>
      <c r="C12" s="36"/>
      <c r="D12" s="36"/>
      <c r="E12" s="36"/>
      <c r="F12" s="36"/>
      <c r="G12" s="36"/>
      <c r="H12" s="36"/>
      <c r="I12" s="3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7" t="s">
        <v>6</v>
      </c>
      <c r="Y12" s="12"/>
      <c r="Z12" s="36" t="s">
        <v>63</v>
      </c>
      <c r="AA12" s="6"/>
      <c r="AB12" s="37" t="s">
        <v>9</v>
      </c>
      <c r="AC12" s="6"/>
      <c r="AD12" s="36" t="s">
        <v>6</v>
      </c>
      <c r="AE12" s="36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"/>
      <c r="BB12" s="6"/>
      <c r="BC12" s="36" t="s">
        <v>18</v>
      </c>
      <c r="BD12" s="8"/>
      <c r="BE12" s="36" t="s">
        <v>19</v>
      </c>
      <c r="BF12" s="13"/>
      <c r="BG12" s="37" t="s">
        <v>20</v>
      </c>
      <c r="BH12" s="8"/>
      <c r="BI12" s="36" t="s">
        <v>21</v>
      </c>
      <c r="BJ12" s="8"/>
      <c r="BK12" s="36" t="s">
        <v>15</v>
      </c>
    </row>
    <row r="13" spans="1:63" ht="12.75">
      <c r="A13" s="6"/>
      <c r="B13" s="6"/>
      <c r="C13" s="6"/>
      <c r="F13" s="6"/>
      <c r="G13" s="6"/>
      <c r="H13" s="6"/>
      <c r="I13" s="6"/>
      <c r="J13" s="6"/>
      <c r="K13" s="6"/>
      <c r="L13" s="6"/>
      <c r="M13" s="6"/>
      <c r="N13" s="6"/>
      <c r="O13" s="12"/>
      <c r="Q13" s="13"/>
      <c r="R13" s="36" t="s">
        <v>53</v>
      </c>
      <c r="S13" s="6"/>
      <c r="T13" s="6"/>
      <c r="U13" s="6"/>
      <c r="V13" s="6"/>
      <c r="W13" s="6"/>
      <c r="X13" s="37" t="s">
        <v>7</v>
      </c>
      <c r="Y13" s="12"/>
      <c r="Z13" s="36" t="s">
        <v>8</v>
      </c>
      <c r="AA13" s="6"/>
      <c r="AB13" s="37" t="s">
        <v>8</v>
      </c>
      <c r="AC13" s="6"/>
      <c r="AD13" s="37" t="s">
        <v>9</v>
      </c>
      <c r="AE13" s="64"/>
      <c r="AF13" s="64"/>
      <c r="AG13" s="64"/>
      <c r="AH13" s="64"/>
      <c r="AI13" s="82"/>
      <c r="AJ13" s="64"/>
      <c r="AK13" s="81"/>
      <c r="AL13" s="64"/>
      <c r="AM13" s="81"/>
      <c r="AN13" s="64"/>
      <c r="AO13" s="64"/>
      <c r="AP13" s="70" t="s">
        <v>10</v>
      </c>
      <c r="AQ13" s="64"/>
      <c r="AR13" s="68"/>
      <c r="AS13" s="84"/>
      <c r="AT13" s="84"/>
      <c r="AU13" s="85"/>
      <c r="AV13" s="68"/>
      <c r="AW13" s="64"/>
      <c r="AX13" s="64"/>
      <c r="AY13" s="64"/>
      <c r="AZ13" s="6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3"/>
    </row>
    <row r="14" spans="1:64" ht="12.75">
      <c r="A14" s="6"/>
      <c r="B14" s="6"/>
      <c r="C14" s="6"/>
      <c r="D14" s="6"/>
      <c r="E14" s="36" t="s">
        <v>6</v>
      </c>
      <c r="G14" s="36" t="s">
        <v>77</v>
      </c>
      <c r="H14" s="8"/>
      <c r="I14" s="36" t="s">
        <v>6</v>
      </c>
      <c r="J14" s="6"/>
      <c r="K14" s="6"/>
      <c r="L14" s="6"/>
      <c r="M14" s="6"/>
      <c r="N14" s="37" t="s">
        <v>6</v>
      </c>
      <c r="O14" s="12"/>
      <c r="P14" s="36" t="s">
        <v>63</v>
      </c>
      <c r="Q14" s="13"/>
      <c r="R14" s="37" t="s">
        <v>9</v>
      </c>
      <c r="S14" s="6"/>
      <c r="T14" s="36" t="s">
        <v>6</v>
      </c>
      <c r="U14" s="6"/>
      <c r="V14" s="6"/>
      <c r="W14" s="6"/>
      <c r="X14" s="37" t="s">
        <v>128</v>
      </c>
      <c r="Y14" s="6"/>
      <c r="Z14" s="37" t="s">
        <v>113</v>
      </c>
      <c r="AA14" s="6"/>
      <c r="AE14" s="43"/>
      <c r="AF14" s="72" t="s">
        <v>120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86" t="s">
        <v>131</v>
      </c>
      <c r="AQ14" s="64"/>
      <c r="AR14" s="87" t="s">
        <v>13</v>
      </c>
      <c r="AS14" s="81"/>
      <c r="AT14" s="68"/>
      <c r="AU14" s="88"/>
      <c r="AV14" s="89" t="s">
        <v>14</v>
      </c>
      <c r="AW14" s="84"/>
      <c r="AX14" s="89" t="s">
        <v>15</v>
      </c>
      <c r="AY14" s="84"/>
      <c r="AZ14" s="68"/>
      <c r="BA14" s="6" t="s">
        <v>25</v>
      </c>
      <c r="BB14" s="6"/>
      <c r="BC14" s="28">
        <v>1844.9</v>
      </c>
      <c r="BD14" s="6"/>
      <c r="BE14" s="4">
        <f>+BC14/BC24</f>
        <v>0.609219694217878</v>
      </c>
      <c r="BF14" s="4"/>
      <c r="BG14" s="29">
        <v>0.0788</v>
      </c>
      <c r="BH14" s="4"/>
      <c r="BI14" s="4">
        <f>+BE14*BG14</f>
        <v>0.04800651190436878</v>
      </c>
      <c r="BJ14" s="4"/>
      <c r="BK14" s="40">
        <f>BC$24*BE14*BG14</f>
        <v>145.37812</v>
      </c>
      <c r="BL14" s="187"/>
    </row>
    <row r="15" spans="1:63" ht="12.75">
      <c r="A15" s="6"/>
      <c r="B15" s="6"/>
      <c r="C15" s="6"/>
      <c r="D15" s="12"/>
      <c r="E15" s="36" t="s">
        <v>7</v>
      </c>
      <c r="F15" s="12"/>
      <c r="G15" s="36" t="s">
        <v>78</v>
      </c>
      <c r="H15" s="8"/>
      <c r="I15" s="37" t="s">
        <v>9</v>
      </c>
      <c r="J15" s="6"/>
      <c r="K15" s="6"/>
      <c r="L15" s="6"/>
      <c r="M15" s="6"/>
      <c r="N15" s="37" t="s">
        <v>7</v>
      </c>
      <c r="O15" s="6"/>
      <c r="P15" s="36" t="s">
        <v>8</v>
      </c>
      <c r="Q15" s="6"/>
      <c r="R15" s="36" t="s">
        <v>8</v>
      </c>
      <c r="S15" s="6"/>
      <c r="T15" s="37" t="s">
        <v>9</v>
      </c>
      <c r="U15" s="14" t="s">
        <v>12</v>
      </c>
      <c r="V15" s="6"/>
      <c r="W15" s="6"/>
      <c r="X15" s="6"/>
      <c r="Y15" s="6"/>
      <c r="AA15" s="6"/>
      <c r="AB15" s="6"/>
      <c r="AC15" s="6"/>
      <c r="AD15" s="6"/>
      <c r="AE15" s="76"/>
      <c r="AF15" s="68"/>
      <c r="AG15" s="68"/>
      <c r="AH15" s="68"/>
      <c r="AI15" s="71" t="s">
        <v>80</v>
      </c>
      <c r="AJ15" s="68"/>
      <c r="AK15" s="71" t="s">
        <v>81</v>
      </c>
      <c r="AL15" s="68"/>
      <c r="AM15" s="71" t="s">
        <v>82</v>
      </c>
      <c r="AN15" s="68"/>
      <c r="AO15" s="68"/>
      <c r="AP15" s="64"/>
      <c r="AQ15" s="64"/>
      <c r="AR15" s="87" t="s">
        <v>18</v>
      </c>
      <c r="AS15" s="81"/>
      <c r="AT15" s="87" t="s">
        <v>19</v>
      </c>
      <c r="AU15" s="88"/>
      <c r="AV15" s="89" t="s">
        <v>20</v>
      </c>
      <c r="AW15" s="81"/>
      <c r="AX15" s="87" t="s">
        <v>21</v>
      </c>
      <c r="AY15" s="81"/>
      <c r="AZ15" s="87" t="s">
        <v>15</v>
      </c>
      <c r="BA15" s="6" t="s">
        <v>27</v>
      </c>
      <c r="BB15" s="6"/>
      <c r="BC15" s="28">
        <v>24.4</v>
      </c>
      <c r="BD15" s="6"/>
      <c r="BE15" s="44">
        <f>BC15/BC24</f>
        <v>0.008057325892414886</v>
      </c>
      <c r="BF15" s="4"/>
      <c r="BG15" s="29">
        <v>0.0665</v>
      </c>
      <c r="BH15" s="4"/>
      <c r="BI15" s="4">
        <f>+BE15*BG15</f>
        <v>0.0005358121718455899</v>
      </c>
      <c r="BJ15" s="4"/>
      <c r="BK15" s="40">
        <f>BC$24*BE15*BG15</f>
        <v>1.6226</v>
      </c>
    </row>
    <row r="16" spans="1:63" ht="12.75">
      <c r="A16" s="6"/>
      <c r="B16" s="6"/>
      <c r="C16" s="6"/>
      <c r="D16" s="6"/>
      <c r="E16" s="37" t="s">
        <v>132</v>
      </c>
      <c r="G16" s="37" t="s">
        <v>126</v>
      </c>
      <c r="H16" s="7"/>
      <c r="J16" s="6"/>
      <c r="K16" s="6"/>
      <c r="L16" s="6"/>
      <c r="M16" s="6"/>
      <c r="N16" s="37" t="s">
        <v>127</v>
      </c>
      <c r="P16" s="37" t="s">
        <v>108</v>
      </c>
      <c r="Q16" s="6"/>
      <c r="R16" s="6"/>
      <c r="S16" s="6"/>
      <c r="T16" s="6"/>
      <c r="U16" s="17" t="s">
        <v>17</v>
      </c>
      <c r="V16" s="6"/>
      <c r="W16" s="6"/>
      <c r="X16" s="28">
        <v>1529.3</v>
      </c>
      <c r="Y16" s="6"/>
      <c r="Z16" s="28"/>
      <c r="AA16" s="18"/>
      <c r="AB16" s="28"/>
      <c r="AC16" s="18"/>
      <c r="AD16" s="3">
        <f aca="true" t="shared" si="0" ref="AD16:AD24">+X16+Z16+AB16</f>
        <v>1529.3</v>
      </c>
      <c r="AE16" s="69"/>
      <c r="AF16" s="68"/>
      <c r="AG16" s="68"/>
      <c r="AH16" s="68"/>
      <c r="AI16" s="71"/>
      <c r="AJ16" s="68"/>
      <c r="AK16" s="71"/>
      <c r="AL16" s="68"/>
      <c r="AM16" s="71"/>
      <c r="AN16" s="68"/>
      <c r="AO16" s="68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73"/>
      <c r="BA16" s="6"/>
      <c r="BB16" s="6"/>
      <c r="BC16" s="30">
        <f>SUM(BC14:BC15)</f>
        <v>1869.3000000000002</v>
      </c>
      <c r="BD16" s="20"/>
      <c r="BE16" s="21">
        <f>SUM(BE14:BE15)</f>
        <v>0.617277020110293</v>
      </c>
      <c r="BF16" s="21"/>
      <c r="BG16" s="20"/>
      <c r="BH16" s="20"/>
      <c r="BI16" s="21">
        <f>SUM(BI14:BI15)-0.0001</f>
        <v>0.04844232407621437</v>
      </c>
      <c r="BJ16" s="20"/>
      <c r="BK16" s="179">
        <f>SUM(BK14:BK15)</f>
        <v>147.00072</v>
      </c>
    </row>
    <row r="17" spans="10:63" ht="12.75">
      <c r="J17" s="14" t="s">
        <v>22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17" t="s">
        <v>89</v>
      </c>
      <c r="V17" s="6"/>
      <c r="W17" s="6"/>
      <c r="X17" s="28">
        <v>697.4</v>
      </c>
      <c r="Y17" s="6"/>
      <c r="Z17" s="28"/>
      <c r="AA17" s="18"/>
      <c r="AB17" s="28"/>
      <c r="AC17" s="18"/>
      <c r="AD17" s="3">
        <f t="shared" si="0"/>
        <v>697.4</v>
      </c>
      <c r="AE17" s="76"/>
      <c r="AF17" s="68" t="s">
        <v>64</v>
      </c>
      <c r="AG17" s="68"/>
      <c r="AH17" s="68"/>
      <c r="AI17" s="90">
        <f>+AD37</f>
        <v>324.80000000000007</v>
      </c>
      <c r="AJ17" s="68"/>
      <c r="AK17" s="90">
        <f>+AD37</f>
        <v>324.80000000000007</v>
      </c>
      <c r="AL17" s="68"/>
      <c r="AM17" s="68"/>
      <c r="AN17" s="68"/>
      <c r="AO17" s="68"/>
      <c r="AP17" s="64" t="s">
        <v>59</v>
      </c>
      <c r="AQ17" s="64"/>
      <c r="AR17" s="73">
        <f>+BC14</f>
        <v>1844.9</v>
      </c>
      <c r="AS17" s="64"/>
      <c r="AT17" s="91">
        <f>+BE14</f>
        <v>0.609219694217878</v>
      </c>
      <c r="AU17" s="91"/>
      <c r="AV17" s="91">
        <f>+BG14</f>
        <v>0.0788</v>
      </c>
      <c r="AW17" s="91"/>
      <c r="AX17" s="91">
        <f>+BI14</f>
        <v>0.04800651190436878</v>
      </c>
      <c r="AY17" s="91"/>
      <c r="AZ17" s="92">
        <f>+BK14</f>
        <v>145.37812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65"/>
    </row>
    <row r="18" spans="1:63" ht="12.75">
      <c r="A18" s="17" t="s">
        <v>16</v>
      </c>
      <c r="B18" s="6"/>
      <c r="C18" s="6"/>
      <c r="D18" s="6"/>
      <c r="E18" s="160">
        <f>+X45</f>
        <v>239.00000000000006</v>
      </c>
      <c r="F18" s="138"/>
      <c r="G18" s="165">
        <f>+Z45+E18</f>
        <v>243.70000000000005</v>
      </c>
      <c r="H18" s="138"/>
      <c r="I18" s="165">
        <f>+AD45</f>
        <v>243.70000000000005</v>
      </c>
      <c r="J18" s="17" t="s">
        <v>24</v>
      </c>
      <c r="K18" s="6"/>
      <c r="L18" s="6"/>
      <c r="M18" s="6"/>
      <c r="N18" s="28">
        <v>3742.1</v>
      </c>
      <c r="O18" s="18"/>
      <c r="P18" s="28">
        <v>-9.8</v>
      </c>
      <c r="Q18" s="6"/>
      <c r="R18" s="28"/>
      <c r="S18" s="18"/>
      <c r="T18" s="3">
        <f>+N18+P18+R18</f>
        <v>3732.2999999999997</v>
      </c>
      <c r="U18" s="17" t="s">
        <v>90</v>
      </c>
      <c r="V18" s="6"/>
      <c r="W18" s="6"/>
      <c r="X18" s="28">
        <v>2.3</v>
      </c>
      <c r="Y18" s="6"/>
      <c r="AA18" s="18"/>
      <c r="AB18" s="28"/>
      <c r="AC18" s="18"/>
      <c r="AD18" s="3">
        <f t="shared" si="0"/>
        <v>2.3</v>
      </c>
      <c r="AE18" s="18"/>
      <c r="AF18" s="68" t="s">
        <v>114</v>
      </c>
      <c r="AG18" s="68"/>
      <c r="AH18" s="68"/>
      <c r="AI18" s="90">
        <f>AD29</f>
        <v>159.8</v>
      </c>
      <c r="AJ18" s="68"/>
      <c r="AK18" s="90">
        <f>+AD29</f>
        <v>159.8</v>
      </c>
      <c r="AL18" s="68"/>
      <c r="AM18" s="68"/>
      <c r="AN18" s="68"/>
      <c r="AO18" s="68"/>
      <c r="AP18" s="64" t="s">
        <v>58</v>
      </c>
      <c r="AQ18" s="64"/>
      <c r="AR18" s="73">
        <f>+BC15</f>
        <v>24.4</v>
      </c>
      <c r="AS18" s="64"/>
      <c r="AT18" s="91">
        <f>+BE15</f>
        <v>0.008057325892414886</v>
      </c>
      <c r="AU18" s="91"/>
      <c r="AV18" s="91">
        <f>+BG15</f>
        <v>0.0665</v>
      </c>
      <c r="AW18" s="91"/>
      <c r="AX18" s="91">
        <f>+BI15</f>
        <v>0.0005358121718455899</v>
      </c>
      <c r="AY18" s="91"/>
      <c r="AZ18" s="73">
        <f>+BK15</f>
        <v>1.6226</v>
      </c>
      <c r="BA18" s="6" t="s">
        <v>33</v>
      </c>
      <c r="BB18" s="6"/>
      <c r="BC18" s="28">
        <v>99.1</v>
      </c>
      <c r="BD18" s="6"/>
      <c r="BE18" s="4">
        <f>+BC18/BC24</f>
        <v>0.03272463098107849</v>
      </c>
      <c r="BF18" s="4"/>
      <c r="BG18" s="29">
        <v>0.05</v>
      </c>
      <c r="BH18" s="4"/>
      <c r="BI18" s="4">
        <f>+BE18*BG18</f>
        <v>0.0016362315490539244</v>
      </c>
      <c r="BJ18" s="4"/>
      <c r="BK18" s="40">
        <f>BC$24*BE18*BG18</f>
        <v>4.955</v>
      </c>
    </row>
    <row r="19" spans="1:63" ht="15.75">
      <c r="A19" s="17"/>
      <c r="B19" s="6"/>
      <c r="C19" s="6"/>
      <c r="D19" s="6"/>
      <c r="E19" s="138"/>
      <c r="F19" s="138"/>
      <c r="G19" s="138"/>
      <c r="H19" s="138"/>
      <c r="I19" s="138"/>
      <c r="J19" s="17"/>
      <c r="K19" s="6"/>
      <c r="L19" s="6"/>
      <c r="M19" s="6"/>
      <c r="N19" s="28"/>
      <c r="O19" s="18"/>
      <c r="P19" s="28"/>
      <c r="Q19" s="6"/>
      <c r="R19" s="28"/>
      <c r="S19" s="127"/>
      <c r="T19" s="3"/>
      <c r="U19" s="17"/>
      <c r="V19" s="6"/>
      <c r="W19" s="6"/>
      <c r="X19" s="28"/>
      <c r="Y19" s="6"/>
      <c r="AA19" s="18"/>
      <c r="AB19" s="28"/>
      <c r="AC19" s="18"/>
      <c r="AD19" s="3"/>
      <c r="AE19" s="18"/>
      <c r="AF19" s="115" t="s">
        <v>102</v>
      </c>
      <c r="AG19" s="68"/>
      <c r="AH19" s="68"/>
      <c r="AI19" s="90"/>
      <c r="AJ19" s="68"/>
      <c r="AK19" s="90"/>
      <c r="AL19" s="68"/>
      <c r="AM19" s="68"/>
      <c r="AN19" s="68"/>
      <c r="AO19" s="68"/>
      <c r="AP19" s="64"/>
      <c r="AQ19" s="64"/>
      <c r="AR19" s="73"/>
      <c r="AS19" s="64"/>
      <c r="AT19" s="91"/>
      <c r="AU19" s="91"/>
      <c r="AV19" s="91"/>
      <c r="AW19" s="91"/>
      <c r="AX19" s="91"/>
      <c r="AY19" s="91"/>
      <c r="AZ19" s="73"/>
      <c r="BA19" s="6"/>
      <c r="BB19" s="6"/>
      <c r="BC19" s="28"/>
      <c r="BD19" s="6"/>
      <c r="BE19" s="4"/>
      <c r="BF19" s="4"/>
      <c r="BG19" s="29"/>
      <c r="BH19" s="4"/>
      <c r="BI19" s="4"/>
      <c r="BJ19" s="4"/>
      <c r="BK19" s="165"/>
    </row>
    <row r="20" spans="1:63" ht="15.75">
      <c r="A20" s="17"/>
      <c r="B20" s="6"/>
      <c r="C20" s="6"/>
      <c r="D20" s="6"/>
      <c r="E20" s="138"/>
      <c r="F20" s="138"/>
      <c r="G20" s="138"/>
      <c r="H20" s="138"/>
      <c r="I20" s="138"/>
      <c r="J20" s="17"/>
      <c r="K20" s="6"/>
      <c r="L20" s="6"/>
      <c r="M20" s="6"/>
      <c r="N20" s="28"/>
      <c r="O20" s="18"/>
      <c r="P20" s="28"/>
      <c r="Q20" s="6"/>
      <c r="R20" s="28"/>
      <c r="S20" s="127"/>
      <c r="T20" s="3"/>
      <c r="U20" s="17"/>
      <c r="V20" s="6"/>
      <c r="W20" s="6"/>
      <c r="X20" s="28"/>
      <c r="Y20" s="6"/>
      <c r="AA20" s="18"/>
      <c r="AB20" s="28"/>
      <c r="AC20" s="18"/>
      <c r="AD20" s="3"/>
      <c r="AE20" s="18"/>
      <c r="AF20" s="115" t="s">
        <v>134</v>
      </c>
      <c r="AG20" s="68"/>
      <c r="AH20" s="68"/>
      <c r="AI20" s="148">
        <v>-0.2</v>
      </c>
      <c r="AJ20" s="133"/>
      <c r="AK20" s="148">
        <v>-0.2</v>
      </c>
      <c r="AL20" s="124"/>
      <c r="AM20" s="94"/>
      <c r="AN20" s="68"/>
      <c r="AO20" s="68"/>
      <c r="AP20" s="64"/>
      <c r="AQ20" s="64"/>
      <c r="AR20" s="73"/>
      <c r="AS20" s="64"/>
      <c r="AT20" s="91"/>
      <c r="AU20" s="91"/>
      <c r="AV20" s="91"/>
      <c r="AW20" s="91"/>
      <c r="AX20" s="91"/>
      <c r="AY20" s="91"/>
      <c r="AZ20" s="73"/>
      <c r="BA20" s="6"/>
      <c r="BB20" s="6"/>
      <c r="BC20" s="28"/>
      <c r="BD20" s="6"/>
      <c r="BE20" s="4"/>
      <c r="BF20" s="4"/>
      <c r="BG20" s="29"/>
      <c r="BH20" s="4"/>
      <c r="BI20" s="4"/>
      <c r="BJ20" s="4"/>
      <c r="BK20" s="165"/>
    </row>
    <row r="21" spans="5:63" ht="15.75">
      <c r="E21" s="139"/>
      <c r="F21" s="139"/>
      <c r="G21" s="139"/>
      <c r="H21" s="139"/>
      <c r="I21" s="139"/>
      <c r="J21" s="17" t="s">
        <v>26</v>
      </c>
      <c r="K21" s="6"/>
      <c r="L21" s="6"/>
      <c r="M21" s="6"/>
      <c r="N21" s="28">
        <v>-1152.6</v>
      </c>
      <c r="O21" s="18"/>
      <c r="P21" s="28">
        <v>0.6</v>
      </c>
      <c r="Q21" s="6"/>
      <c r="R21" s="28"/>
      <c r="S21" s="149"/>
      <c r="T21" s="3">
        <f>+N21+P21+R21</f>
        <v>-1152</v>
      </c>
      <c r="U21" s="17"/>
      <c r="V21" s="6"/>
      <c r="W21" s="6"/>
      <c r="Y21" s="6"/>
      <c r="Z21" s="28"/>
      <c r="AA21" s="18"/>
      <c r="AB21" s="28"/>
      <c r="AC21" s="18"/>
      <c r="AD21" s="3"/>
      <c r="AE21" s="18"/>
      <c r="AF21" s="68" t="s">
        <v>65</v>
      </c>
      <c r="AG21" s="68"/>
      <c r="AH21" s="68"/>
      <c r="AI21" s="94">
        <v>7.4</v>
      </c>
      <c r="AJ21" s="93"/>
      <c r="AK21" s="94">
        <f>+AI21</f>
        <v>7.4</v>
      </c>
      <c r="AL21" s="94"/>
      <c r="AM21" s="94"/>
      <c r="AN21" s="68"/>
      <c r="AO21" s="68"/>
      <c r="AP21" s="64" t="s">
        <v>56</v>
      </c>
      <c r="AQ21" s="64"/>
      <c r="AR21" s="73">
        <f>+BC18</f>
        <v>99.1</v>
      </c>
      <c r="AS21" s="64"/>
      <c r="AT21" s="91">
        <f>+BE18</f>
        <v>0.03272463098107849</v>
      </c>
      <c r="AU21" s="91"/>
      <c r="AV21" s="91">
        <f>+BG18</f>
        <v>0.05</v>
      </c>
      <c r="AW21" s="91"/>
      <c r="AX21" s="91">
        <f>+BI18</f>
        <v>0.0016362315490539244</v>
      </c>
      <c r="AY21" s="91"/>
      <c r="AZ21" s="73">
        <f>+BK18</f>
        <v>4.955</v>
      </c>
      <c r="BA21" s="6"/>
      <c r="BB21" s="6"/>
      <c r="BC21" s="28"/>
      <c r="BD21" s="6"/>
      <c r="BE21" s="4"/>
      <c r="BF21" s="4"/>
      <c r="BG21" s="29"/>
      <c r="BH21" s="4"/>
      <c r="BI21" s="4"/>
      <c r="BJ21" s="4"/>
      <c r="BK21" s="165"/>
    </row>
    <row r="22" spans="5:63" ht="15.75">
      <c r="E22" s="139"/>
      <c r="F22" s="139"/>
      <c r="G22" s="139"/>
      <c r="H22" s="139"/>
      <c r="I22" s="139"/>
      <c r="J22" s="17"/>
      <c r="K22" s="6"/>
      <c r="L22" s="6"/>
      <c r="M22" s="6"/>
      <c r="N22" s="28"/>
      <c r="O22" s="18"/>
      <c r="P22" s="28"/>
      <c r="Q22" s="6"/>
      <c r="R22" s="28"/>
      <c r="S22" s="18"/>
      <c r="T22" s="3"/>
      <c r="U22" s="17" t="s">
        <v>29</v>
      </c>
      <c r="V22" s="6"/>
      <c r="W22" s="6"/>
      <c r="X22" s="28">
        <v>18.1</v>
      </c>
      <c r="Y22" s="6"/>
      <c r="Z22" s="28">
        <v>0.1</v>
      </c>
      <c r="AA22" s="18"/>
      <c r="AB22" s="28"/>
      <c r="AC22" s="128"/>
      <c r="AD22" s="3">
        <f t="shared" si="0"/>
        <v>18.200000000000003</v>
      </c>
      <c r="AE22" s="18"/>
      <c r="AF22" s="68" t="s">
        <v>66</v>
      </c>
      <c r="AG22" s="68"/>
      <c r="AH22" s="68"/>
      <c r="AI22" s="93">
        <v>1.1</v>
      </c>
      <c r="AJ22" s="93"/>
      <c r="AK22" s="93">
        <f>+AI22</f>
        <v>1.1</v>
      </c>
      <c r="AL22" s="94"/>
      <c r="AM22" s="94"/>
      <c r="AN22" s="68"/>
      <c r="AO22" s="68"/>
      <c r="AP22" s="64"/>
      <c r="AQ22" s="64"/>
      <c r="AR22" s="73"/>
      <c r="AS22" s="64"/>
      <c r="AT22" s="91"/>
      <c r="AU22" s="91"/>
      <c r="AV22" s="91"/>
      <c r="AW22" s="91"/>
      <c r="AX22" s="91"/>
      <c r="AY22" s="91"/>
      <c r="AZ22" s="73"/>
      <c r="BA22" s="6" t="s">
        <v>35</v>
      </c>
      <c r="BB22" s="6"/>
      <c r="BC22" s="28">
        <v>1059.9</v>
      </c>
      <c r="BD22" s="6"/>
      <c r="BE22" s="29">
        <v>0.35</v>
      </c>
      <c r="BF22" s="4"/>
      <c r="BG22" s="29">
        <v>0.1125</v>
      </c>
      <c r="BH22" s="4"/>
      <c r="BI22" s="4">
        <f>+BE22*BG22</f>
        <v>0.039375</v>
      </c>
      <c r="BJ22" s="4"/>
      <c r="BK22" s="40">
        <f>BC$24*BE22*BG22</f>
        <v>119.2393125</v>
      </c>
    </row>
    <row r="23" spans="1:63" ht="12.75">
      <c r="A23" s="17" t="s">
        <v>23</v>
      </c>
      <c r="B23" s="6"/>
      <c r="C23" s="6"/>
      <c r="D23" s="6"/>
      <c r="E23" s="161">
        <f>+N40</f>
        <v>3028.3</v>
      </c>
      <c r="F23" s="138"/>
      <c r="G23" s="161">
        <f>+P40+E23</f>
        <v>3019.3</v>
      </c>
      <c r="H23" s="138"/>
      <c r="I23" s="161">
        <f>+T40</f>
        <v>3019.3</v>
      </c>
      <c r="J23" s="6"/>
      <c r="K23" s="6"/>
      <c r="L23" s="6"/>
      <c r="M23" s="6"/>
      <c r="N23" s="6"/>
      <c r="O23" s="18"/>
      <c r="P23" s="6"/>
      <c r="Q23" s="6"/>
      <c r="R23" s="6"/>
      <c r="S23" s="18"/>
      <c r="T23" s="6"/>
      <c r="U23" s="17" t="s">
        <v>31</v>
      </c>
      <c r="V23" s="6"/>
      <c r="W23" s="6"/>
      <c r="X23" s="28">
        <v>0.8</v>
      </c>
      <c r="Y23" s="6"/>
      <c r="Z23" s="28"/>
      <c r="AA23" s="18"/>
      <c r="AB23" s="28"/>
      <c r="AC23" s="18"/>
      <c r="AD23" s="3">
        <f t="shared" si="0"/>
        <v>0.8</v>
      </c>
      <c r="AE23" s="18"/>
      <c r="AF23" s="68"/>
      <c r="AG23" s="68"/>
      <c r="AH23" s="68"/>
      <c r="AI23" s="95">
        <f>SUM(AI17:AI22)</f>
        <v>492.9000000000001</v>
      </c>
      <c r="AJ23" s="93"/>
      <c r="AK23" s="95">
        <f>SUM(AK17:AK22)</f>
        <v>492.9000000000001</v>
      </c>
      <c r="AL23" s="94"/>
      <c r="AM23" s="94"/>
      <c r="AN23" s="68"/>
      <c r="AO23" s="68"/>
      <c r="AP23" s="64" t="s">
        <v>57</v>
      </c>
      <c r="AQ23" s="64"/>
      <c r="AR23" s="73">
        <f>+BC22</f>
        <v>1059.9</v>
      </c>
      <c r="AS23" s="64"/>
      <c r="AT23" s="91">
        <f>+BE22</f>
        <v>0.35</v>
      </c>
      <c r="AU23" s="91"/>
      <c r="AV23" s="91">
        <f>+BG22</f>
        <v>0.1125</v>
      </c>
      <c r="AW23" s="91"/>
      <c r="AX23" s="91">
        <f>+BI22</f>
        <v>0.039375</v>
      </c>
      <c r="AY23" s="91"/>
      <c r="AZ23" s="73">
        <f>+BK22</f>
        <v>119.2393125</v>
      </c>
      <c r="BA23" s="188" t="s">
        <v>121</v>
      </c>
      <c r="BB23" s="6"/>
      <c r="BC23" s="28"/>
      <c r="BD23" s="6"/>
      <c r="BE23" s="29"/>
      <c r="BF23" s="4"/>
      <c r="BG23" s="29"/>
      <c r="BH23" s="4"/>
      <c r="BI23" s="4"/>
      <c r="BJ23" s="4"/>
      <c r="BK23" s="40">
        <v>-0.2</v>
      </c>
    </row>
    <row r="24" spans="1:63" ht="13.5" thickBot="1">
      <c r="A24" s="6"/>
      <c r="B24" s="6"/>
      <c r="C24" s="6"/>
      <c r="D24" s="6"/>
      <c r="E24" s="138"/>
      <c r="F24" s="138"/>
      <c r="G24" s="138"/>
      <c r="H24" s="138"/>
      <c r="I24" s="138"/>
      <c r="J24" s="17" t="s">
        <v>30</v>
      </c>
      <c r="K24" s="6"/>
      <c r="L24" s="6"/>
      <c r="M24" s="6"/>
      <c r="N24" s="22">
        <f>SUM(N18:N21)</f>
        <v>2589.5</v>
      </c>
      <c r="O24" s="18"/>
      <c r="P24" s="22">
        <f>SUM(P18:P21)</f>
        <v>-9.200000000000001</v>
      </c>
      <c r="Q24" s="6"/>
      <c r="R24" s="22">
        <f>SUM(R18:R21)</f>
        <v>0</v>
      </c>
      <c r="S24" s="18"/>
      <c r="T24" s="22">
        <f>+N24+P24+R24</f>
        <v>2580.3</v>
      </c>
      <c r="U24" s="70" t="s">
        <v>32</v>
      </c>
      <c r="V24" s="70"/>
      <c r="W24" s="6"/>
      <c r="X24" s="22">
        <f>SUM(X16:X23)</f>
        <v>2247.9</v>
      </c>
      <c r="Y24" s="6"/>
      <c r="Z24" s="22">
        <f>SUM(Z16:Z23)</f>
        <v>0.1</v>
      </c>
      <c r="AA24" s="18"/>
      <c r="AB24" s="22">
        <f>SUM(AB16:AB23)</f>
        <v>0</v>
      </c>
      <c r="AC24" s="18"/>
      <c r="AD24" s="22">
        <f t="shared" si="0"/>
        <v>2248</v>
      </c>
      <c r="AE24" s="18"/>
      <c r="AF24" s="68"/>
      <c r="AG24" s="68"/>
      <c r="AH24" s="68"/>
      <c r="AI24" s="93"/>
      <c r="AJ24" s="93"/>
      <c r="AK24" s="93"/>
      <c r="AL24" s="94"/>
      <c r="AM24" s="94"/>
      <c r="AN24" s="68"/>
      <c r="AO24" s="68"/>
      <c r="AP24" s="64"/>
      <c r="AQ24" s="64"/>
      <c r="AR24" s="96">
        <f>+BC24</f>
        <v>3028.3</v>
      </c>
      <c r="AS24" s="65"/>
      <c r="AT24" s="97">
        <f>SUM(AT17:AT23)</f>
        <v>1.0000016510913714</v>
      </c>
      <c r="AU24" s="98"/>
      <c r="AV24" s="65"/>
      <c r="AW24" s="65"/>
      <c r="AX24" s="97">
        <f>+BI24</f>
        <v>0.0894535556252683</v>
      </c>
      <c r="AY24" s="65"/>
      <c r="AZ24" s="96">
        <f>+BK24</f>
        <v>270.99503250000004</v>
      </c>
      <c r="BA24" s="6"/>
      <c r="BB24" s="6"/>
      <c r="BC24" s="23">
        <f>SUM(BC16:BC22)</f>
        <v>3028.3</v>
      </c>
      <c r="BD24" s="20"/>
      <c r="BE24" s="24">
        <f>+BE16+BE18+BE22</f>
        <v>1.0000016510913714</v>
      </c>
      <c r="BF24" s="21"/>
      <c r="BG24" s="20"/>
      <c r="BH24" s="20"/>
      <c r="BI24" s="33">
        <f>BI16+BI18+BI22</f>
        <v>0.0894535556252683</v>
      </c>
      <c r="BJ24" s="20"/>
      <c r="BK24" s="23">
        <f>+BK16+BK18+BK22+BK23</f>
        <v>270.99503250000004</v>
      </c>
    </row>
    <row r="25" spans="1:63" ht="13.5" thickTop="1">
      <c r="A25" s="6" t="s">
        <v>28</v>
      </c>
      <c r="B25" s="6"/>
      <c r="C25" s="6"/>
      <c r="D25" s="6"/>
      <c r="E25" s="4">
        <f>+E18/E23</f>
        <v>0.07892216755275239</v>
      </c>
      <c r="F25" s="4"/>
      <c r="G25" s="4">
        <f>+G18/G23</f>
        <v>0.08071407279833075</v>
      </c>
      <c r="H25" s="4"/>
      <c r="I25" s="4">
        <f>+I18/I23</f>
        <v>0.08071407279833075</v>
      </c>
      <c r="J25" s="6"/>
      <c r="K25" s="6"/>
      <c r="L25" s="6"/>
      <c r="M25" s="6"/>
      <c r="N25" s="6"/>
      <c r="O25" s="18"/>
      <c r="P25" s="6"/>
      <c r="Q25" s="6"/>
      <c r="R25" s="6"/>
      <c r="S25" s="18"/>
      <c r="T25" s="6"/>
      <c r="U25" s="6"/>
      <c r="V25" s="6"/>
      <c r="W25" s="6"/>
      <c r="X25" s="30"/>
      <c r="Y25" s="6"/>
      <c r="Z25" s="30"/>
      <c r="AA25" s="18"/>
      <c r="AB25" s="30"/>
      <c r="AC25" s="18"/>
      <c r="AD25" s="6"/>
      <c r="AE25" s="18"/>
      <c r="AF25" s="68" t="s">
        <v>67</v>
      </c>
      <c r="AG25" s="68"/>
      <c r="AH25" s="68"/>
      <c r="AI25" s="93">
        <v>113.9</v>
      </c>
      <c r="AJ25" s="93"/>
      <c r="AK25" s="93">
        <v>113.7</v>
      </c>
      <c r="AL25" s="94"/>
      <c r="AM25" s="94"/>
      <c r="AN25" s="68"/>
      <c r="AO25" s="68"/>
      <c r="AP25" s="64"/>
      <c r="AQ25" s="64"/>
      <c r="AR25" s="64"/>
      <c r="AS25" s="64"/>
      <c r="AT25" s="91"/>
      <c r="AU25" s="64"/>
      <c r="AV25" s="64"/>
      <c r="AW25" s="64"/>
      <c r="AX25" s="64"/>
      <c r="AY25" s="64"/>
      <c r="AZ25" s="64"/>
      <c r="BA25" s="6"/>
      <c r="BB25" s="6"/>
      <c r="BC25" s="3"/>
      <c r="BD25" s="6"/>
      <c r="BE25" s="6"/>
      <c r="BF25" s="6"/>
      <c r="BG25" s="6"/>
      <c r="BH25" s="6"/>
      <c r="BI25" s="6"/>
      <c r="BJ25" s="6"/>
      <c r="BK25" s="6"/>
    </row>
    <row r="26" spans="1:63" ht="15.75">
      <c r="A26" s="6"/>
      <c r="B26" s="6"/>
      <c r="C26" s="6"/>
      <c r="D26" s="6"/>
      <c r="E26" s="4"/>
      <c r="F26" s="4"/>
      <c r="G26" s="4"/>
      <c r="H26" s="4"/>
      <c r="I26" s="4"/>
      <c r="J26" s="6"/>
      <c r="K26" s="6"/>
      <c r="L26" s="6"/>
      <c r="M26" s="6"/>
      <c r="N26" s="6"/>
      <c r="O26" s="18"/>
      <c r="P26" s="6"/>
      <c r="Q26" s="6"/>
      <c r="R26" s="6"/>
      <c r="S26" s="18"/>
      <c r="T26" s="6"/>
      <c r="U26" s="14" t="s">
        <v>36</v>
      </c>
      <c r="V26" s="6"/>
      <c r="W26" s="6"/>
      <c r="X26" s="6"/>
      <c r="Y26" s="6"/>
      <c r="Z26" s="6"/>
      <c r="AA26" s="18"/>
      <c r="AB26" s="6"/>
      <c r="AC26" s="18"/>
      <c r="AD26" s="6"/>
      <c r="AE26" s="18"/>
      <c r="AF26" s="68" t="s">
        <v>101</v>
      </c>
      <c r="AG26" s="68"/>
      <c r="AH26" s="68"/>
      <c r="AI26" s="150">
        <f>-0.1+20.5+7+2.4+0.1+1.5</f>
        <v>31.4</v>
      </c>
      <c r="AJ26" s="151"/>
      <c r="AK26" s="150">
        <f>+AI26</f>
        <v>31.4</v>
      </c>
      <c r="AL26" s="134"/>
      <c r="AM26" s="94"/>
      <c r="AN26" s="68"/>
      <c r="AO26" s="68"/>
      <c r="AP26" s="68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2.75">
      <c r="A27" s="17" t="s">
        <v>118</v>
      </c>
      <c r="B27" s="6"/>
      <c r="C27" s="6"/>
      <c r="D27" s="6"/>
      <c r="E27" s="143">
        <v>0.08953</v>
      </c>
      <c r="F27" s="4"/>
      <c r="G27" s="144">
        <f>BI40</f>
        <v>0.0826331907892558</v>
      </c>
      <c r="H27" s="4"/>
      <c r="I27" s="144">
        <f>+BI53</f>
        <v>0.0826331907892558</v>
      </c>
      <c r="J27" s="14" t="s">
        <v>34</v>
      </c>
      <c r="K27" s="6"/>
      <c r="L27" s="6"/>
      <c r="M27" s="6"/>
      <c r="N27" s="6"/>
      <c r="O27" s="18"/>
      <c r="P27" s="6"/>
      <c r="Q27" s="6"/>
      <c r="R27" s="6"/>
      <c r="S27" s="18"/>
      <c r="T27" s="6"/>
      <c r="U27" s="17" t="s">
        <v>38</v>
      </c>
      <c r="V27" s="6"/>
      <c r="W27" s="6"/>
      <c r="X27" s="28">
        <v>1454.9</v>
      </c>
      <c r="Y27" s="6"/>
      <c r="Z27" s="28"/>
      <c r="AA27" s="18"/>
      <c r="AB27" s="6"/>
      <c r="AC27" s="18"/>
      <c r="AD27" s="3">
        <f aca="true" t="shared" si="1" ref="AD27:AD33">+X27+Z27+AB27</f>
        <v>1454.9</v>
      </c>
      <c r="AE27" s="18"/>
      <c r="AF27" s="68"/>
      <c r="AG27" s="68"/>
      <c r="AH27" s="68"/>
      <c r="AI27" s="95">
        <f>SUM(AI25:AI26)</f>
        <v>145.3</v>
      </c>
      <c r="AJ27" s="93"/>
      <c r="AK27" s="95">
        <f>SUM(AK25:AK26)</f>
        <v>145.1</v>
      </c>
      <c r="AL27" s="94"/>
      <c r="AM27" s="94"/>
      <c r="AN27" s="68"/>
      <c r="AO27" s="68"/>
      <c r="AP27" s="70" t="s">
        <v>103</v>
      </c>
      <c r="AQ27" s="64"/>
      <c r="AR27" s="68"/>
      <c r="AS27" s="84"/>
      <c r="AT27" s="84"/>
      <c r="AU27" s="85"/>
      <c r="AV27" s="68"/>
      <c r="AW27" s="64"/>
      <c r="AX27" s="64"/>
      <c r="AY27" s="64"/>
      <c r="AZ27" s="64"/>
      <c r="BA27" s="14" t="s">
        <v>55</v>
      </c>
      <c r="BB27" s="6"/>
      <c r="BD27" s="11"/>
      <c r="BE27" s="11"/>
      <c r="BF27" s="16"/>
      <c r="BH27" s="6"/>
      <c r="BI27" s="6"/>
      <c r="BJ27" s="6"/>
      <c r="BK27" s="6"/>
    </row>
    <row r="28" spans="1:62" ht="15.75">
      <c r="A28" s="6"/>
      <c r="B28" s="6"/>
      <c r="C28" s="6"/>
      <c r="D28" s="6"/>
      <c r="E28" s="145"/>
      <c r="F28" s="4"/>
      <c r="G28" s="4"/>
      <c r="H28" s="4"/>
      <c r="I28" s="4"/>
      <c r="J28" s="17" t="s">
        <v>109</v>
      </c>
      <c r="K28" s="6"/>
      <c r="L28" s="6"/>
      <c r="M28" s="6"/>
      <c r="N28" s="28">
        <v>2</v>
      </c>
      <c r="O28" s="18"/>
      <c r="P28" s="28"/>
      <c r="Q28" s="6"/>
      <c r="R28" s="28"/>
      <c r="S28" s="18"/>
      <c r="T28" s="3">
        <f>+N28+P28+R28</f>
        <v>2</v>
      </c>
      <c r="U28" s="17" t="s">
        <v>40</v>
      </c>
      <c r="V28" s="6"/>
      <c r="W28" s="6"/>
      <c r="X28" s="28">
        <v>270.6</v>
      </c>
      <c r="Y28" s="6"/>
      <c r="Z28" s="28">
        <v>-10.7</v>
      </c>
      <c r="AA28" s="18"/>
      <c r="AB28" s="28"/>
      <c r="AC28" s="128"/>
      <c r="AD28" s="3">
        <f t="shared" si="1"/>
        <v>259.90000000000003</v>
      </c>
      <c r="AE28" s="18"/>
      <c r="AF28" s="68"/>
      <c r="AG28" s="68"/>
      <c r="AH28" s="68"/>
      <c r="AI28" s="93"/>
      <c r="AJ28" s="93"/>
      <c r="AK28" s="93"/>
      <c r="AL28" s="94"/>
      <c r="AM28" s="94"/>
      <c r="AN28" s="68"/>
      <c r="AO28" s="68"/>
      <c r="AP28" s="86" t="s">
        <v>11</v>
      </c>
      <c r="AQ28" s="64"/>
      <c r="AR28" s="87" t="s">
        <v>13</v>
      </c>
      <c r="AS28" s="81"/>
      <c r="AT28" s="68"/>
      <c r="AU28" s="88"/>
      <c r="AV28" s="89" t="s">
        <v>14</v>
      </c>
      <c r="AW28" s="84"/>
      <c r="AX28" s="89" t="s">
        <v>15</v>
      </c>
      <c r="AY28" s="84"/>
      <c r="AZ28" s="68"/>
      <c r="BA28" s="15" t="s">
        <v>117</v>
      </c>
      <c r="BB28" s="6"/>
      <c r="BC28" s="36" t="s">
        <v>13</v>
      </c>
      <c r="BD28" s="8"/>
      <c r="BF28" s="13"/>
      <c r="BG28" s="37" t="s">
        <v>14</v>
      </c>
      <c r="BH28" s="11"/>
      <c r="BI28" s="37" t="s">
        <v>15</v>
      </c>
      <c r="BJ28" s="11"/>
    </row>
    <row r="29" spans="1:63" ht="16.5" thickBot="1">
      <c r="A29" s="16" t="s">
        <v>60</v>
      </c>
      <c r="B29" s="6"/>
      <c r="C29" s="6"/>
      <c r="D29" s="6"/>
      <c r="E29" s="146">
        <f>+E25-E27</f>
        <v>-0.010607832447247612</v>
      </c>
      <c r="F29" s="4"/>
      <c r="G29" s="146">
        <f>+G25-G27</f>
        <v>-0.0019191179909250483</v>
      </c>
      <c r="H29" s="4"/>
      <c r="I29" s="146">
        <f>+I25-I27</f>
        <v>-0.0019191179909250483</v>
      </c>
      <c r="J29" s="17" t="s">
        <v>110</v>
      </c>
      <c r="K29" s="6"/>
      <c r="L29" s="6"/>
      <c r="M29" s="6"/>
      <c r="N29" s="28">
        <v>1.1</v>
      </c>
      <c r="O29" s="18"/>
      <c r="P29" s="28"/>
      <c r="Q29" s="6"/>
      <c r="R29" s="28"/>
      <c r="S29" s="18"/>
      <c r="T29" s="3">
        <f>+N29+P29+R29</f>
        <v>1.1</v>
      </c>
      <c r="U29" s="17" t="s">
        <v>42</v>
      </c>
      <c r="V29" s="6"/>
      <c r="W29" s="6"/>
      <c r="X29" s="28">
        <v>160.3</v>
      </c>
      <c r="Y29" s="6"/>
      <c r="Z29" s="28">
        <v>-0.5</v>
      </c>
      <c r="AA29" s="18"/>
      <c r="AB29" s="28"/>
      <c r="AC29" s="127"/>
      <c r="AD29" s="3">
        <f t="shared" si="1"/>
        <v>159.8</v>
      </c>
      <c r="AE29" s="18"/>
      <c r="AF29" s="68" t="s">
        <v>68</v>
      </c>
      <c r="AG29" s="68"/>
      <c r="AH29" s="68"/>
      <c r="AI29" s="99">
        <f>+AI23-AI27</f>
        <v>347.6000000000001</v>
      </c>
      <c r="AJ29" s="93"/>
      <c r="AK29" s="99">
        <f>+AK23-AK27</f>
        <v>347.80000000000007</v>
      </c>
      <c r="AL29" s="94"/>
      <c r="AM29" s="94"/>
      <c r="AN29" s="68"/>
      <c r="AO29" s="68"/>
      <c r="AP29" s="64"/>
      <c r="AQ29" s="64"/>
      <c r="AR29" s="87" t="s">
        <v>18</v>
      </c>
      <c r="AS29" s="81"/>
      <c r="AT29" s="87" t="s">
        <v>19</v>
      </c>
      <c r="AU29" s="88"/>
      <c r="AV29" s="89" t="s">
        <v>20</v>
      </c>
      <c r="AW29" s="81"/>
      <c r="AX29" s="87" t="s">
        <v>21</v>
      </c>
      <c r="AY29" s="81"/>
      <c r="AZ29" s="87" t="s">
        <v>15</v>
      </c>
      <c r="BA29" s="6"/>
      <c r="BB29" s="6"/>
      <c r="BC29" s="36" t="s">
        <v>18</v>
      </c>
      <c r="BD29" s="8"/>
      <c r="BE29" s="36" t="s">
        <v>19</v>
      </c>
      <c r="BF29" s="13"/>
      <c r="BG29" s="37" t="s">
        <v>20</v>
      </c>
      <c r="BH29" s="8"/>
      <c r="BI29" s="36" t="s">
        <v>21</v>
      </c>
      <c r="BJ29" s="8"/>
      <c r="BK29" s="36" t="s">
        <v>15</v>
      </c>
    </row>
    <row r="30" spans="1:63" ht="13.5" thickTop="1">
      <c r="A30" s="6"/>
      <c r="B30" s="6"/>
      <c r="C30" s="6"/>
      <c r="D30" s="6"/>
      <c r="E30" s="138"/>
      <c r="F30" s="138"/>
      <c r="G30" s="138"/>
      <c r="H30" s="138"/>
      <c r="I30" s="138"/>
      <c r="J30" s="17" t="s">
        <v>37</v>
      </c>
      <c r="K30" s="6"/>
      <c r="L30" s="6"/>
      <c r="M30" s="6"/>
      <c r="N30" s="28">
        <v>20.8</v>
      </c>
      <c r="O30" s="18"/>
      <c r="P30" s="28"/>
      <c r="Q30" s="6"/>
      <c r="R30" s="28"/>
      <c r="S30" s="18"/>
      <c r="T30" s="3">
        <f>+N30+P30+R30</f>
        <v>20.8</v>
      </c>
      <c r="U30" s="17" t="s">
        <v>87</v>
      </c>
      <c r="V30" s="6"/>
      <c r="W30" s="6"/>
      <c r="X30" s="28">
        <v>0.2</v>
      </c>
      <c r="Y30" s="6"/>
      <c r="Z30" s="28"/>
      <c r="AA30" s="18"/>
      <c r="AB30" s="28"/>
      <c r="AC30" s="18"/>
      <c r="AD30" s="3">
        <f t="shared" si="1"/>
        <v>0.2</v>
      </c>
      <c r="AE30" s="18"/>
      <c r="AF30" s="68"/>
      <c r="AG30" s="68"/>
      <c r="AH30" s="68"/>
      <c r="AI30" s="93"/>
      <c r="AJ30" s="93"/>
      <c r="AK30" s="93"/>
      <c r="AL30" s="94"/>
      <c r="AM30" s="94"/>
      <c r="AN30" s="68"/>
      <c r="AO30" s="68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73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3"/>
    </row>
    <row r="31" spans="1:63" ht="12.75">
      <c r="A31" s="17" t="s">
        <v>61</v>
      </c>
      <c r="B31" s="6"/>
      <c r="C31" s="6"/>
      <c r="D31" s="6"/>
      <c r="E31" s="162">
        <f>+(E23*E29)</f>
        <v>-32.123698999999945</v>
      </c>
      <c r="F31" s="138"/>
      <c r="G31" s="162">
        <f>+(G23*G29)+0.06</f>
        <v>-5.734392949999999</v>
      </c>
      <c r="H31" s="138"/>
      <c r="I31" s="162">
        <f>+(I23*I29)+0.06</f>
        <v>-5.734392949999999</v>
      </c>
      <c r="J31" s="17" t="s">
        <v>39</v>
      </c>
      <c r="K31" s="6"/>
      <c r="L31" s="6"/>
      <c r="M31" s="6"/>
      <c r="N31" s="28">
        <v>0.9</v>
      </c>
      <c r="O31" s="18"/>
      <c r="P31" s="28"/>
      <c r="Q31" s="6"/>
      <c r="R31" s="28"/>
      <c r="S31" s="18"/>
      <c r="T31" s="3">
        <f>+N31+P31+R31</f>
        <v>0.9</v>
      </c>
      <c r="U31" s="17" t="s">
        <v>119</v>
      </c>
      <c r="V31" s="6"/>
      <c r="W31" s="6"/>
      <c r="X31" s="28"/>
      <c r="Y31" s="6"/>
      <c r="Z31" s="28"/>
      <c r="AA31" s="18"/>
      <c r="AB31" s="28"/>
      <c r="AC31" s="18"/>
      <c r="AD31" s="3"/>
      <c r="AE31" s="18"/>
      <c r="AF31" s="68"/>
      <c r="AG31" s="68"/>
      <c r="AH31" s="68"/>
      <c r="AI31" s="93"/>
      <c r="AJ31" s="93"/>
      <c r="AK31" s="93"/>
      <c r="AL31" s="94"/>
      <c r="AM31" s="94"/>
      <c r="AN31" s="68"/>
      <c r="AO31" s="68"/>
      <c r="AP31" s="64" t="s">
        <v>25</v>
      </c>
      <c r="AQ31" s="64"/>
      <c r="AR31" s="73">
        <f>+BC31</f>
        <v>1751.6</v>
      </c>
      <c r="AS31" s="64"/>
      <c r="AT31" s="91">
        <f>+BE31</f>
        <v>0.5801344682542311</v>
      </c>
      <c r="AU31" s="91"/>
      <c r="AV31" s="91">
        <f>+BG31</f>
        <v>0.0794</v>
      </c>
      <c r="AW31" s="91"/>
      <c r="AX31" s="91">
        <f>+BI31</f>
        <v>0.04606267677938595</v>
      </c>
      <c r="AY31" s="91"/>
      <c r="AZ31" s="92">
        <f>+BK31</f>
        <v>139.1</v>
      </c>
      <c r="BA31" s="6" t="s">
        <v>25</v>
      </c>
      <c r="BB31" s="6"/>
      <c r="BC31" s="28">
        <v>1751.6</v>
      </c>
      <c r="BD31" s="6"/>
      <c r="BE31" s="4">
        <f>+BC31/BC40</f>
        <v>0.5801344682542311</v>
      </c>
      <c r="BF31" s="4"/>
      <c r="BG31" s="29">
        <v>0.0794</v>
      </c>
      <c r="BH31" s="4"/>
      <c r="BI31" s="4">
        <f>+BE31*BG31</f>
        <v>0.04606267677938595</v>
      </c>
      <c r="BJ31" s="4"/>
      <c r="BK31" s="40">
        <f>ROUND(+BC31*BG31,1)</f>
        <v>139.1</v>
      </c>
    </row>
    <row r="32" spans="1:63" ht="12.75">
      <c r="A32" s="17"/>
      <c r="B32" s="6"/>
      <c r="C32" s="6"/>
      <c r="D32" s="6"/>
      <c r="E32" s="140"/>
      <c r="F32" s="138"/>
      <c r="G32" s="140"/>
      <c r="H32" s="138"/>
      <c r="I32" s="140"/>
      <c r="J32" s="6" t="s">
        <v>47</v>
      </c>
      <c r="K32" s="6"/>
      <c r="L32" s="6"/>
      <c r="M32" s="6"/>
      <c r="N32" s="28">
        <v>-18.5</v>
      </c>
      <c r="O32" s="18"/>
      <c r="P32" s="28"/>
      <c r="Q32" s="6"/>
      <c r="R32" s="28"/>
      <c r="S32" s="18"/>
      <c r="T32" s="3">
        <f>+N32+P32+R32</f>
        <v>-18.5</v>
      </c>
      <c r="U32" s="16" t="s">
        <v>129</v>
      </c>
      <c r="V32" s="6"/>
      <c r="W32" s="6"/>
      <c r="X32" s="28"/>
      <c r="Y32" s="6"/>
      <c r="Z32" s="28">
        <v>0.9</v>
      </c>
      <c r="AA32" s="18"/>
      <c r="AB32" s="28"/>
      <c r="AC32" s="18"/>
      <c r="AD32" s="3">
        <f t="shared" si="1"/>
        <v>0.9</v>
      </c>
      <c r="AE32" s="18"/>
      <c r="AF32" s="68" t="s">
        <v>69</v>
      </c>
      <c r="AG32" s="68"/>
      <c r="AH32" s="68"/>
      <c r="AI32" s="100">
        <v>0.255</v>
      </c>
      <c r="AJ32" s="93"/>
      <c r="AK32" s="100">
        <v>0.125</v>
      </c>
      <c r="AL32" s="94"/>
      <c r="AM32" s="94"/>
      <c r="AN32" s="68"/>
      <c r="AO32" s="68"/>
      <c r="AP32" s="64"/>
      <c r="AQ32" s="64"/>
      <c r="AR32" s="73"/>
      <c r="AS32" s="64"/>
      <c r="AT32" s="91"/>
      <c r="AU32" s="91"/>
      <c r="AV32" s="91"/>
      <c r="AW32" s="91"/>
      <c r="AX32" s="91"/>
      <c r="AY32" s="91"/>
      <c r="AZ32" s="92"/>
      <c r="BA32" s="6"/>
      <c r="BB32" s="6"/>
      <c r="BC32" s="28"/>
      <c r="BD32" s="6"/>
      <c r="BE32" s="4"/>
      <c r="BF32" s="4"/>
      <c r="BG32" s="29"/>
      <c r="BH32" s="4"/>
      <c r="BI32" s="4"/>
      <c r="BJ32" s="4"/>
      <c r="BK32" s="40"/>
    </row>
    <row r="33" spans="1:63" ht="12.75">
      <c r="A33" s="17"/>
      <c r="B33" s="6"/>
      <c r="C33" s="6"/>
      <c r="D33" s="6"/>
      <c r="E33" s="138"/>
      <c r="F33" s="138"/>
      <c r="G33" s="138"/>
      <c r="H33" s="138"/>
      <c r="I33" s="138"/>
      <c r="J33" s="17" t="s">
        <v>43</v>
      </c>
      <c r="N33" s="28">
        <v>1.4</v>
      </c>
      <c r="O33" s="18"/>
      <c r="P33" s="28"/>
      <c r="Q33" s="6"/>
      <c r="R33" s="113"/>
      <c r="S33" s="18"/>
      <c r="T33" s="3">
        <f>+N33+P33+R32</f>
        <v>1.4</v>
      </c>
      <c r="U33" s="17" t="s">
        <v>44</v>
      </c>
      <c r="V33" s="6"/>
      <c r="W33" s="6"/>
      <c r="X33" s="28">
        <v>47.7</v>
      </c>
      <c r="Y33" s="6"/>
      <c r="Z33" s="28">
        <v>-0.2</v>
      </c>
      <c r="AA33" s="18"/>
      <c r="AB33" s="28"/>
      <c r="AC33" s="18"/>
      <c r="AD33" s="3">
        <f t="shared" si="1"/>
        <v>47.5</v>
      </c>
      <c r="AE33" s="18"/>
      <c r="AF33" s="68" t="s">
        <v>70</v>
      </c>
      <c r="AG33" s="68"/>
      <c r="AH33" s="68"/>
      <c r="AI33" s="93">
        <f>+AI29*AI32</f>
        <v>88.63800000000002</v>
      </c>
      <c r="AJ33" s="93"/>
      <c r="AK33" s="93">
        <f>+AK29*AK32</f>
        <v>43.47500000000001</v>
      </c>
      <c r="AL33" s="94"/>
      <c r="AM33" s="94"/>
      <c r="AN33" s="68"/>
      <c r="AO33" s="68"/>
      <c r="AP33" s="64" t="s">
        <v>27</v>
      </c>
      <c r="AQ33" s="64"/>
      <c r="AR33" s="67">
        <f>+BC33</f>
        <v>111.8</v>
      </c>
      <c r="AS33" s="65"/>
      <c r="AT33" s="98">
        <f>+BE33</f>
        <v>0.03702845030305038</v>
      </c>
      <c r="AU33" s="98"/>
      <c r="AV33" s="98">
        <f>+BG33</f>
        <v>0.0283</v>
      </c>
      <c r="AW33" s="98"/>
      <c r="AX33" s="98">
        <f>+BI33</f>
        <v>0.0010479051435763258</v>
      </c>
      <c r="AY33" s="98"/>
      <c r="AZ33" s="67">
        <f>+BK33</f>
        <v>3.2</v>
      </c>
      <c r="BA33" s="6" t="s">
        <v>27</v>
      </c>
      <c r="BB33" s="6"/>
      <c r="BC33" s="28">
        <v>111.8</v>
      </c>
      <c r="BD33" s="6"/>
      <c r="BE33" s="4">
        <f>+BC33/BC40</f>
        <v>0.03702845030305038</v>
      </c>
      <c r="BF33" s="4"/>
      <c r="BG33" s="29">
        <v>0.0283</v>
      </c>
      <c r="BH33" s="4"/>
      <c r="BI33" s="4">
        <f>+BE33*BG33</f>
        <v>0.0010479051435763258</v>
      </c>
      <c r="BJ33" s="4"/>
      <c r="BK33" s="3">
        <f>ROUND(+BC33*BG33,1)</f>
        <v>3.2</v>
      </c>
    </row>
    <row r="34" spans="1:63" ht="12.75">
      <c r="A34" s="17" t="s">
        <v>85</v>
      </c>
      <c r="B34" s="6"/>
      <c r="C34" s="18">
        <v>1</v>
      </c>
      <c r="D34" s="6"/>
      <c r="E34" s="163">
        <f>+E31*((C44/(1-C44)))</f>
        <v>-19.68871874193545</v>
      </c>
      <c r="F34" s="139"/>
      <c r="G34" s="165">
        <f>+G31*((C44/(1-C44)))</f>
        <v>-3.514627937096774</v>
      </c>
      <c r="H34" s="165"/>
      <c r="I34" s="165">
        <f>+I31*((C44/(1-C44)))</f>
        <v>-3.514627937096774</v>
      </c>
      <c r="J34" s="17" t="s">
        <v>46</v>
      </c>
      <c r="K34" s="6"/>
      <c r="L34" s="6"/>
      <c r="M34" s="6"/>
      <c r="N34" s="28">
        <v>415.2</v>
      </c>
      <c r="O34" s="18"/>
      <c r="P34" s="28"/>
      <c r="Q34" s="6"/>
      <c r="R34" s="113"/>
      <c r="S34" s="18"/>
      <c r="T34" s="3">
        <f>+N34+P34+R36</f>
        <v>415.2</v>
      </c>
      <c r="U34" s="70" t="s">
        <v>48</v>
      </c>
      <c r="V34" s="70"/>
      <c r="W34" s="6"/>
      <c r="X34" s="22">
        <f>SUM(X27:X33)</f>
        <v>1933.7</v>
      </c>
      <c r="Y34" s="6"/>
      <c r="Z34" s="22">
        <f>SUM(Z27:Z33)</f>
        <v>-10.499999999999998</v>
      </c>
      <c r="AA34" s="18"/>
      <c r="AB34" s="22">
        <f>SUM(AB28:AB33)</f>
        <v>0</v>
      </c>
      <c r="AC34" s="18"/>
      <c r="AD34" s="22">
        <f>+X34+Z34+AB34</f>
        <v>1923.2</v>
      </c>
      <c r="AE34" s="18"/>
      <c r="AF34" s="68"/>
      <c r="AG34" s="68"/>
      <c r="AH34" s="68"/>
      <c r="AI34" s="100"/>
      <c r="AJ34" s="93"/>
      <c r="AK34" s="107"/>
      <c r="AL34" s="93"/>
      <c r="AM34" s="94"/>
      <c r="AN34" s="68"/>
      <c r="AO34" s="68"/>
      <c r="AP34" s="64"/>
      <c r="AQ34" s="64"/>
      <c r="AR34" s="67"/>
      <c r="AS34" s="65"/>
      <c r="AT34" s="98"/>
      <c r="AU34" s="98"/>
      <c r="AV34" s="98"/>
      <c r="AW34" s="98"/>
      <c r="AX34" s="98"/>
      <c r="AY34" s="98"/>
      <c r="AZ34" s="67"/>
      <c r="BA34" s="6"/>
      <c r="BB34" s="6"/>
      <c r="BC34" s="28"/>
      <c r="BD34" s="6"/>
      <c r="BF34" s="4"/>
      <c r="BG34" s="29"/>
      <c r="BH34" s="4"/>
      <c r="BI34" s="4"/>
      <c r="BJ34" s="4"/>
      <c r="BK34" s="3"/>
    </row>
    <row r="35" spans="1:63" ht="12.75">
      <c r="A35" s="16" t="s">
        <v>98</v>
      </c>
      <c r="B35" s="6"/>
      <c r="C35" s="18"/>
      <c r="D35" s="6"/>
      <c r="E35" s="164">
        <f>+E31+E34</f>
        <v>-51.81241774193539</v>
      </c>
      <c r="F35" s="139"/>
      <c r="G35" s="141"/>
      <c r="H35" s="138"/>
      <c r="I35" s="141"/>
      <c r="J35" s="17" t="s">
        <v>41</v>
      </c>
      <c r="K35" s="6"/>
      <c r="L35" s="6"/>
      <c r="M35" s="6"/>
      <c r="N35" s="28">
        <v>15.9</v>
      </c>
      <c r="O35" s="18"/>
      <c r="P35" s="28">
        <v>0.2</v>
      </c>
      <c r="Q35" s="6"/>
      <c r="R35" s="67"/>
      <c r="S35" s="103"/>
      <c r="T35" s="3">
        <f>+N35+P35+R35</f>
        <v>16.1</v>
      </c>
      <c r="U35" s="6"/>
      <c r="V35" s="6"/>
      <c r="W35" s="6"/>
      <c r="X35" s="3"/>
      <c r="Y35" s="6"/>
      <c r="Z35" s="3"/>
      <c r="AA35" s="18"/>
      <c r="AB35" s="6"/>
      <c r="AC35" s="18"/>
      <c r="AD35" s="3"/>
      <c r="AE35" s="18"/>
      <c r="AF35" s="68" t="s">
        <v>71</v>
      </c>
      <c r="AG35" s="68"/>
      <c r="AH35" s="68"/>
      <c r="AI35" s="93"/>
      <c r="AJ35" s="93"/>
      <c r="AK35" s="93"/>
      <c r="AL35" s="93"/>
      <c r="AM35" s="93">
        <f>+AI33+AK33</f>
        <v>132.11300000000003</v>
      </c>
      <c r="AN35" s="68"/>
      <c r="AO35" s="68"/>
      <c r="AP35" s="64"/>
      <c r="AQ35" s="64"/>
      <c r="AR35" s="67"/>
      <c r="AS35" s="65"/>
      <c r="AT35" s="98"/>
      <c r="AU35" s="98"/>
      <c r="AV35" s="98"/>
      <c r="AW35" s="98"/>
      <c r="AX35" s="98"/>
      <c r="AY35" s="98"/>
      <c r="AZ35" s="67"/>
      <c r="BA35" s="6"/>
      <c r="BB35" s="6"/>
      <c r="BC35" s="19">
        <f>SUM(BC31:BC33)</f>
        <v>1863.3999999999999</v>
      </c>
      <c r="BD35" s="20"/>
      <c r="BE35" s="4">
        <f>+BE31+BE33</f>
        <v>0.6171629185572814</v>
      </c>
      <c r="BF35" s="21"/>
      <c r="BG35" s="20"/>
      <c r="BH35" s="20"/>
      <c r="BI35" s="32">
        <f>SUM(BI31:BI33)</f>
        <v>0.047110581922962275</v>
      </c>
      <c r="BJ35" s="20"/>
      <c r="BK35" s="19">
        <f>SUM(BK31:BK33)</f>
        <v>142.29999999999998</v>
      </c>
    </row>
    <row r="36" spans="1:63" ht="12.75">
      <c r="A36" s="17"/>
      <c r="B36" s="6"/>
      <c r="C36" s="18"/>
      <c r="D36" s="6"/>
      <c r="E36" s="141"/>
      <c r="F36" s="139"/>
      <c r="G36" s="141"/>
      <c r="H36" s="138"/>
      <c r="I36" s="141"/>
      <c r="J36" s="17"/>
      <c r="K36" s="6"/>
      <c r="L36" s="6"/>
      <c r="M36" s="6"/>
      <c r="O36" s="18"/>
      <c r="P36" s="20"/>
      <c r="Q36" s="6"/>
      <c r="R36" s="28"/>
      <c r="S36" s="18"/>
      <c r="U36" s="70" t="s">
        <v>16</v>
      </c>
      <c r="V36" s="70"/>
      <c r="W36" s="6"/>
      <c r="X36" s="6"/>
      <c r="Y36" s="6"/>
      <c r="Z36" s="6"/>
      <c r="AA36" s="18"/>
      <c r="AB36" s="6"/>
      <c r="AC36" s="18"/>
      <c r="AD36" s="6"/>
      <c r="AE36" s="18"/>
      <c r="AF36" s="68" t="s">
        <v>72</v>
      </c>
      <c r="AG36" s="68"/>
      <c r="AH36" s="68"/>
      <c r="AI36" s="93"/>
      <c r="AJ36" s="93"/>
      <c r="AK36" s="93"/>
      <c r="AL36" s="93"/>
      <c r="AM36" s="93">
        <v>3.1</v>
      </c>
      <c r="AN36" s="68"/>
      <c r="AO36" s="68"/>
      <c r="AP36" s="64" t="s">
        <v>33</v>
      </c>
      <c r="AQ36" s="64"/>
      <c r="AR36" s="73">
        <f>+BC37</f>
        <v>99.1</v>
      </c>
      <c r="AS36" s="64"/>
      <c r="AT36" s="91">
        <f>+BE37</f>
        <v>0.03285217732587024</v>
      </c>
      <c r="AU36" s="91"/>
      <c r="AV36" s="91">
        <f>+BG37</f>
        <v>0.05</v>
      </c>
      <c r="AW36" s="91"/>
      <c r="AX36" s="91">
        <f>+BI37</f>
        <v>0.001712608866293512</v>
      </c>
      <c r="AY36" s="91"/>
      <c r="AZ36" s="73">
        <f>+BK37</f>
        <v>4.955</v>
      </c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3:63" ht="12.75">
      <c r="C37" s="18"/>
      <c r="D37" s="6"/>
      <c r="E37" s="141"/>
      <c r="F37" s="139"/>
      <c r="G37" s="141"/>
      <c r="H37" s="138"/>
      <c r="I37" s="141"/>
      <c r="J37" s="42" t="s">
        <v>51</v>
      </c>
      <c r="K37" s="6"/>
      <c r="L37" s="6"/>
      <c r="M37" s="6"/>
      <c r="N37" s="22">
        <f>SUM(N28:N35)</f>
        <v>438.79999999999995</v>
      </c>
      <c r="O37" s="18"/>
      <c r="P37" s="22">
        <f>SUM(P28:P35)</f>
        <v>0.2</v>
      </c>
      <c r="Q37" s="6"/>
      <c r="R37" s="22">
        <f>SUM(R28:R36)</f>
        <v>0</v>
      </c>
      <c r="S37" s="18"/>
      <c r="T37" s="22">
        <f>+N37+P37+R37</f>
        <v>438.99999999999994</v>
      </c>
      <c r="U37" s="70" t="s">
        <v>54</v>
      </c>
      <c r="V37" s="70"/>
      <c r="W37" s="6"/>
      <c r="X37" s="3">
        <f>+X24-X34</f>
        <v>314.20000000000005</v>
      </c>
      <c r="Y37" s="6"/>
      <c r="Z37" s="3">
        <f>+Z24-Z34</f>
        <v>10.599999999999998</v>
      </c>
      <c r="AA37" s="18"/>
      <c r="AB37" s="3">
        <f>+AB24-AB34</f>
        <v>0</v>
      </c>
      <c r="AC37" s="18"/>
      <c r="AD37" s="3">
        <f>+X37+Z37+AB37</f>
        <v>324.80000000000007</v>
      </c>
      <c r="AE37" s="18"/>
      <c r="AF37" s="68" t="s">
        <v>73</v>
      </c>
      <c r="AG37" s="68"/>
      <c r="AH37" s="68"/>
      <c r="AI37" s="93"/>
      <c r="AJ37" s="93"/>
      <c r="AK37" s="93"/>
      <c r="AL37" s="93"/>
      <c r="AM37" s="93">
        <v>-0.1</v>
      </c>
      <c r="AN37" s="93"/>
      <c r="AO37" s="68"/>
      <c r="AP37" s="64" t="s">
        <v>35</v>
      </c>
      <c r="AQ37" s="64"/>
      <c r="AR37" s="73">
        <f>+BC38</f>
        <v>1056.8</v>
      </c>
      <c r="AS37" s="64"/>
      <c r="AT37" s="91">
        <f>+BE38</f>
        <v>0.35</v>
      </c>
      <c r="AU37" s="91"/>
      <c r="AV37" s="91">
        <f>+BG38</f>
        <v>0.0966</v>
      </c>
      <c r="AW37" s="91"/>
      <c r="AX37" s="91">
        <f>+BI38</f>
        <v>0.03381</v>
      </c>
      <c r="AY37" s="91"/>
      <c r="AZ37" s="73">
        <f>+BK38</f>
        <v>102.08688000000001</v>
      </c>
      <c r="BA37" s="6" t="s">
        <v>33</v>
      </c>
      <c r="BB37" s="6"/>
      <c r="BC37" s="28">
        <v>99.1</v>
      </c>
      <c r="BD37" s="6"/>
      <c r="BE37" s="4">
        <f>+BC37/BC40+0.00003</f>
        <v>0.03285217732587024</v>
      </c>
      <c r="BF37" s="4"/>
      <c r="BG37" s="29">
        <v>0.05</v>
      </c>
      <c r="BH37" s="4"/>
      <c r="BI37" s="166">
        <f>BE37*BG37+0.00007</f>
        <v>0.001712608866293512</v>
      </c>
      <c r="BJ37" s="4"/>
      <c r="BK37" s="3">
        <f>+BC37*BG37</f>
        <v>4.955</v>
      </c>
    </row>
    <row r="38" spans="1:63" ht="13.5" thickBot="1">
      <c r="A38" s="64"/>
      <c r="B38" s="6"/>
      <c r="C38" s="64"/>
      <c r="D38" s="64"/>
      <c r="E38" s="142"/>
      <c r="F38" s="142"/>
      <c r="G38" s="142"/>
      <c r="H38" s="142"/>
      <c r="I38" s="138"/>
      <c r="J38" s="6"/>
      <c r="K38" s="6"/>
      <c r="L38" s="6"/>
      <c r="M38" s="6"/>
      <c r="N38" s="30"/>
      <c r="O38" s="18"/>
      <c r="P38" s="30"/>
      <c r="Q38" s="6"/>
      <c r="R38" s="30"/>
      <c r="S38" s="6"/>
      <c r="T38" s="30"/>
      <c r="U38" s="6"/>
      <c r="V38" s="6"/>
      <c r="W38" s="6"/>
      <c r="Y38" s="6"/>
      <c r="AA38" s="18"/>
      <c r="AC38" s="18"/>
      <c r="AD38" s="6"/>
      <c r="AE38" s="18"/>
      <c r="AF38" s="106" t="s">
        <v>115</v>
      </c>
      <c r="AG38" s="68"/>
      <c r="AH38" s="68"/>
      <c r="AI38" s="93"/>
      <c r="AJ38" s="93"/>
      <c r="AK38" s="93"/>
      <c r="AL38" s="93"/>
      <c r="AM38" s="99">
        <f>SUM(AM35:AM37)</f>
        <v>135.11300000000003</v>
      </c>
      <c r="AN38" s="93"/>
      <c r="AO38" s="68"/>
      <c r="AP38" s="64"/>
      <c r="AQ38" s="64"/>
      <c r="AR38" s="96">
        <f>+BC40</f>
        <v>3019.2999999999997</v>
      </c>
      <c r="AS38" s="65"/>
      <c r="AT38" s="97">
        <f>+BE40</f>
        <v>1.0000150958831515</v>
      </c>
      <c r="AU38" s="98"/>
      <c r="AV38" s="65"/>
      <c r="AW38" s="65"/>
      <c r="AX38" s="97">
        <f>+BI40</f>
        <v>0.0826331907892558</v>
      </c>
      <c r="AY38" s="65"/>
      <c r="AZ38" s="96">
        <f>+BK40</f>
        <v>249.44188</v>
      </c>
      <c r="BA38" s="6" t="s">
        <v>35</v>
      </c>
      <c r="BB38" s="6"/>
      <c r="BC38" s="28">
        <v>1056.8</v>
      </c>
      <c r="BD38" s="6"/>
      <c r="BE38" s="29">
        <v>0.35</v>
      </c>
      <c r="BF38" s="4"/>
      <c r="BG38" s="29">
        <v>0.0966</v>
      </c>
      <c r="BH38" s="4"/>
      <c r="BI38" s="4">
        <f>+BE38*BG38</f>
        <v>0.03381</v>
      </c>
      <c r="BJ38" s="4"/>
      <c r="BK38" s="3">
        <f>+BC38*BG38</f>
        <v>102.08688000000001</v>
      </c>
    </row>
    <row r="39" spans="1:63" ht="16.5" thickTop="1">
      <c r="A39" s="64"/>
      <c r="B39" s="64"/>
      <c r="C39" s="64"/>
      <c r="D39" s="64"/>
      <c r="E39" s="142"/>
      <c r="F39" s="142"/>
      <c r="G39" s="142"/>
      <c r="H39" s="142"/>
      <c r="I39" s="138"/>
      <c r="J39" s="6"/>
      <c r="K39" s="6"/>
      <c r="L39" s="6"/>
      <c r="M39" s="6"/>
      <c r="N39" s="6"/>
      <c r="O39" s="18"/>
      <c r="P39" s="6"/>
      <c r="Q39" s="6"/>
      <c r="R39" s="6"/>
      <c r="S39" s="6"/>
      <c r="T39" s="6"/>
      <c r="U39" s="70" t="s">
        <v>49</v>
      </c>
      <c r="V39" s="6"/>
      <c r="W39" s="6"/>
      <c r="Y39" s="6"/>
      <c r="AA39" s="18"/>
      <c r="AC39" s="18"/>
      <c r="AD39" s="6"/>
      <c r="AE39" s="127"/>
      <c r="AI39" s="93"/>
      <c r="AJ39" s="93"/>
      <c r="AK39" s="93"/>
      <c r="AL39" s="93"/>
      <c r="AN39" s="93"/>
      <c r="AO39" s="68"/>
      <c r="AP39" s="64"/>
      <c r="AQ39" s="64"/>
      <c r="AR39" s="64"/>
      <c r="AS39" s="64"/>
      <c r="AT39" s="91"/>
      <c r="AU39" s="64"/>
      <c r="AV39" s="64"/>
      <c r="AW39" s="64"/>
      <c r="AX39" s="64"/>
      <c r="AY39" s="64"/>
      <c r="AZ39" s="73"/>
      <c r="BA39" s="188" t="s">
        <v>121</v>
      </c>
      <c r="BB39" s="6"/>
      <c r="BC39" s="28"/>
      <c r="BD39" s="6"/>
      <c r="BE39" s="29"/>
      <c r="BF39" s="4"/>
      <c r="BG39" s="29"/>
      <c r="BH39" s="4"/>
      <c r="BI39" s="4"/>
      <c r="BJ39" s="4"/>
      <c r="BK39" s="165">
        <v>0.1</v>
      </c>
    </row>
    <row r="40" spans="1:63" ht="16.5" thickBot="1">
      <c r="A40" s="42" t="s">
        <v>62</v>
      </c>
      <c r="B40" s="64"/>
      <c r="C40" s="64"/>
      <c r="D40" s="64"/>
      <c r="E40" s="167">
        <f>+E31/(1-C44)+E38</f>
        <v>-51.8124177419354</v>
      </c>
      <c r="F40" s="168"/>
      <c r="G40" s="167">
        <f>+G31/(1-C44)</f>
        <v>-9.249020887096773</v>
      </c>
      <c r="H40" s="168"/>
      <c r="I40" s="167">
        <f>+I31/(1-C44)</f>
        <v>-9.249020887096773</v>
      </c>
      <c r="J40" s="43" t="s">
        <v>52</v>
      </c>
      <c r="K40" s="6"/>
      <c r="L40" s="6"/>
      <c r="M40" s="6"/>
      <c r="N40" s="23">
        <f>+N24+N37</f>
        <v>3028.3</v>
      </c>
      <c r="O40" s="127"/>
      <c r="P40" s="23">
        <f>+P24+P37</f>
        <v>-9.000000000000002</v>
      </c>
      <c r="Q40" s="6"/>
      <c r="R40" s="23">
        <f>+R24+R37</f>
        <v>0</v>
      </c>
      <c r="S40" s="6"/>
      <c r="T40" s="23">
        <f>+T24+T37</f>
        <v>3019.3</v>
      </c>
      <c r="U40" s="17" t="s">
        <v>111</v>
      </c>
      <c r="V40" s="6"/>
      <c r="W40" s="6"/>
      <c r="X40" s="28">
        <v>131</v>
      </c>
      <c r="Y40" s="6"/>
      <c r="Z40" s="28">
        <v>4.1</v>
      </c>
      <c r="AA40" s="18"/>
      <c r="AB40" s="3"/>
      <c r="AC40" s="127"/>
      <c r="AD40" s="3">
        <f>+AM38</f>
        <v>135.11300000000003</v>
      </c>
      <c r="AE40" s="18"/>
      <c r="AF40" s="68" t="s">
        <v>74</v>
      </c>
      <c r="AG40" s="68"/>
      <c r="AH40" s="93"/>
      <c r="AI40" s="93">
        <v>142.2</v>
      </c>
      <c r="AJ40" s="93"/>
      <c r="AK40" s="93"/>
      <c r="AL40" s="93"/>
      <c r="AN40" s="93"/>
      <c r="AO40" s="68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73"/>
      <c r="BA40" s="6"/>
      <c r="BB40" s="6"/>
      <c r="BC40" s="23">
        <f>+BC35+BC37+BC38</f>
        <v>3019.2999999999997</v>
      </c>
      <c r="BD40" s="20"/>
      <c r="BE40" s="24">
        <f>SUM(BE35:BE38)</f>
        <v>1.0000150958831515</v>
      </c>
      <c r="BF40" s="21"/>
      <c r="BG40" s="20"/>
      <c r="BH40" s="20"/>
      <c r="BI40" s="33">
        <f>+BI35+BI37+BI38</f>
        <v>0.0826331907892558</v>
      </c>
      <c r="BJ40" s="20"/>
      <c r="BK40" s="23">
        <f>+BK35+BK37+BK38+BK39</f>
        <v>249.44188</v>
      </c>
    </row>
    <row r="41" spans="1:63" ht="13.5" thickTop="1">
      <c r="A41" s="6"/>
      <c r="B41" s="6"/>
      <c r="C41" s="6"/>
      <c r="D41" s="6"/>
      <c r="E41" s="138"/>
      <c r="F41" s="138"/>
      <c r="G41" s="138"/>
      <c r="H41" s="138"/>
      <c r="I41" s="13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7" t="s">
        <v>112</v>
      </c>
      <c r="V41" s="6"/>
      <c r="X41" s="28">
        <v>-55.8</v>
      </c>
      <c r="Z41" s="28">
        <v>1.8</v>
      </c>
      <c r="AB41" s="3"/>
      <c r="AD41" s="3">
        <f>-AM44</f>
        <v>-54.035999999999994</v>
      </c>
      <c r="AE41" s="18"/>
      <c r="AF41" s="68" t="s">
        <v>75</v>
      </c>
      <c r="AG41" s="68"/>
      <c r="AI41" s="107">
        <f>+C44</f>
        <v>0.38</v>
      </c>
      <c r="AJ41" s="93"/>
      <c r="AK41" s="93"/>
      <c r="AL41" s="93"/>
      <c r="AN41" s="93"/>
      <c r="AO41" s="68"/>
      <c r="AP41" s="42" t="s">
        <v>45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73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3"/>
    </row>
    <row r="42" spans="1:54" ht="15.75">
      <c r="A42" s="6"/>
      <c r="B42" s="6"/>
      <c r="C42" s="6"/>
      <c r="D42" s="6"/>
      <c r="E42" s="137"/>
      <c r="F42" s="137"/>
      <c r="G42" s="137"/>
      <c r="H42" s="137"/>
      <c r="I42" s="137"/>
      <c r="J42" s="1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0"/>
      <c r="X42" s="6"/>
      <c r="Y42" s="20"/>
      <c r="Z42" s="18"/>
      <c r="AA42" s="20"/>
      <c r="AB42" s="3"/>
      <c r="AC42" s="20"/>
      <c r="AD42" s="126"/>
      <c r="AE42" s="127"/>
      <c r="AG42" s="68"/>
      <c r="AH42" s="68"/>
      <c r="AJ42" s="93"/>
      <c r="AK42" s="93"/>
      <c r="AL42" s="93"/>
      <c r="AM42" s="93"/>
      <c r="AN42" s="93"/>
      <c r="AO42" s="68"/>
      <c r="AP42" s="64"/>
      <c r="AQ42" s="64"/>
      <c r="AR42" s="87" t="s">
        <v>13</v>
      </c>
      <c r="AS42" s="81"/>
      <c r="AT42" s="68"/>
      <c r="AU42" s="88"/>
      <c r="AV42" s="89" t="s">
        <v>14</v>
      </c>
      <c r="AW42" s="84"/>
      <c r="AX42" s="89" t="s">
        <v>15</v>
      </c>
      <c r="AY42" s="84"/>
      <c r="AZ42" s="90"/>
      <c r="BA42" s="25" t="s">
        <v>45</v>
      </c>
      <c r="BB42" s="6"/>
    </row>
    <row r="43" spans="1:63" ht="15.75">
      <c r="A43" s="70" t="s">
        <v>76</v>
      </c>
      <c r="B43" s="6"/>
      <c r="C43" s="6"/>
      <c r="D43" s="6"/>
      <c r="E43" s="64"/>
      <c r="F43" s="64"/>
      <c r="G43" s="64"/>
      <c r="H43" s="64"/>
      <c r="I43" s="64"/>
      <c r="J43" s="43" t="s">
        <v>76</v>
      </c>
      <c r="K43" s="6"/>
      <c r="L43" s="6"/>
      <c r="M43" s="6"/>
      <c r="N43" s="64"/>
      <c r="O43" s="64"/>
      <c r="P43" s="64"/>
      <c r="Q43" s="6"/>
      <c r="R43" s="64"/>
      <c r="S43" s="6"/>
      <c r="T43" s="64"/>
      <c r="U43" s="42" t="s">
        <v>50</v>
      </c>
      <c r="V43" s="70"/>
      <c r="W43" s="6"/>
      <c r="X43" s="22">
        <f>SUM(X40:X41)</f>
        <v>75.2</v>
      </c>
      <c r="Y43" s="6"/>
      <c r="Z43" s="22">
        <f>SUM(Z40:Z41)</f>
        <v>5.8999999999999995</v>
      </c>
      <c r="AA43" s="18"/>
      <c r="AB43" s="22">
        <f>SUM(AB40:AB41)</f>
        <v>0</v>
      </c>
      <c r="AC43" s="6"/>
      <c r="AD43" s="22">
        <f>+X43+Z43+AB43</f>
        <v>81.10000000000001</v>
      </c>
      <c r="AE43" s="127"/>
      <c r="AG43" s="68"/>
      <c r="AH43" s="68"/>
      <c r="AI43" s="93"/>
      <c r="AJ43" s="93"/>
      <c r="AK43" s="93"/>
      <c r="AL43" s="93"/>
      <c r="AM43" s="93"/>
      <c r="AN43" s="93"/>
      <c r="AO43" s="68"/>
      <c r="AP43" s="64"/>
      <c r="AQ43" s="64"/>
      <c r="AR43" s="87" t="s">
        <v>18</v>
      </c>
      <c r="AS43" s="81"/>
      <c r="AT43" s="87" t="s">
        <v>19</v>
      </c>
      <c r="AU43" s="88"/>
      <c r="AV43" s="89" t="s">
        <v>20</v>
      </c>
      <c r="AW43" s="81"/>
      <c r="AX43" s="87" t="s">
        <v>21</v>
      </c>
      <c r="AY43" s="81"/>
      <c r="AZ43" s="101" t="s">
        <v>15</v>
      </c>
      <c r="BA43" s="6"/>
      <c r="BC43" s="36" t="s">
        <v>13</v>
      </c>
      <c r="BD43" s="8"/>
      <c r="BF43" s="13"/>
      <c r="BG43" s="37" t="s">
        <v>14</v>
      </c>
      <c r="BH43" s="11"/>
      <c r="BI43" s="37" t="s">
        <v>15</v>
      </c>
      <c r="BJ43" s="11"/>
      <c r="BK43" s="38"/>
    </row>
    <row r="44" spans="1:63" ht="15.75">
      <c r="A44" s="78" t="s">
        <v>97</v>
      </c>
      <c r="B44" s="64"/>
      <c r="C44" s="157">
        <v>0.38</v>
      </c>
      <c r="D44" s="64"/>
      <c r="E44" s="64"/>
      <c r="F44" s="64"/>
      <c r="G44" s="64"/>
      <c r="H44" s="64"/>
      <c r="I44" s="64"/>
      <c r="J44" s="120"/>
      <c r="K44" s="64"/>
      <c r="L44" s="64"/>
      <c r="M44" s="64"/>
      <c r="N44" s="64"/>
      <c r="O44" s="64"/>
      <c r="P44" s="64"/>
      <c r="Q44" s="6"/>
      <c r="R44" s="64"/>
      <c r="S44" s="6"/>
      <c r="T44" s="64"/>
      <c r="U44" s="6"/>
      <c r="V44" s="6"/>
      <c r="W44" s="6"/>
      <c r="X44" s="6"/>
      <c r="Y44" s="6"/>
      <c r="Z44" s="6"/>
      <c r="AA44" s="18"/>
      <c r="AB44" s="6"/>
      <c r="AC44" s="6"/>
      <c r="AD44" s="6"/>
      <c r="AE44" s="18"/>
      <c r="AF44" s="106" t="s">
        <v>86</v>
      </c>
      <c r="AL44" s="65"/>
      <c r="AM44" s="159">
        <f>+AI40*AI41</f>
        <v>54.035999999999994</v>
      </c>
      <c r="AN44" s="68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90"/>
      <c r="BA44" s="6"/>
      <c r="BC44" s="36" t="s">
        <v>18</v>
      </c>
      <c r="BD44" s="8"/>
      <c r="BE44" s="36" t="s">
        <v>19</v>
      </c>
      <c r="BF44" s="13"/>
      <c r="BG44" s="37" t="s">
        <v>20</v>
      </c>
      <c r="BH44" s="8"/>
      <c r="BI44" s="36" t="s">
        <v>21</v>
      </c>
      <c r="BJ44" s="8"/>
      <c r="BK44" s="39" t="s">
        <v>15</v>
      </c>
    </row>
    <row r="45" spans="2:63" ht="13.5" thickBot="1">
      <c r="B45" s="64"/>
      <c r="C45" s="68"/>
      <c r="D45" s="64"/>
      <c r="E45" s="64"/>
      <c r="F45" s="64"/>
      <c r="G45" s="74"/>
      <c r="H45" s="64"/>
      <c r="I45" s="64"/>
      <c r="J45" s="120"/>
      <c r="K45" s="64"/>
      <c r="L45" s="64"/>
      <c r="M45" s="64"/>
      <c r="N45" s="64"/>
      <c r="O45" s="64"/>
      <c r="P45" s="64"/>
      <c r="Q45" s="64"/>
      <c r="R45" s="64"/>
      <c r="S45" s="64"/>
      <c r="U45" s="31" t="s">
        <v>16</v>
      </c>
      <c r="V45" s="6"/>
      <c r="W45" s="6"/>
      <c r="X45" s="80">
        <f>+X37-X43</f>
        <v>239.00000000000006</v>
      </c>
      <c r="Y45" s="6"/>
      <c r="Z45" s="80">
        <f>+Z37-Z43</f>
        <v>4.699999999999998</v>
      </c>
      <c r="AA45" s="18"/>
      <c r="AB45" s="80">
        <f>+AB37-AB43</f>
        <v>0</v>
      </c>
      <c r="AC45" s="6"/>
      <c r="AD45" s="80">
        <f>+X45+Z45+AB45</f>
        <v>243.70000000000005</v>
      </c>
      <c r="AE45" s="68"/>
      <c r="AF45" s="106" t="s">
        <v>116</v>
      </c>
      <c r="AL45" s="65"/>
      <c r="AM45" s="158">
        <f>AM38-AM44</f>
        <v>81.07700000000003</v>
      </c>
      <c r="AN45" s="93"/>
      <c r="AO45" s="68"/>
      <c r="AP45" s="64" t="s">
        <v>25</v>
      </c>
      <c r="AR45" s="67">
        <f>+BC46</f>
        <v>1751.6</v>
      </c>
      <c r="AT45" s="98">
        <f>+BE46</f>
        <v>0.5801344682542311</v>
      </c>
      <c r="AV45" s="98">
        <f>+BG46</f>
        <v>0.0794</v>
      </c>
      <c r="AX45" s="98">
        <f>+BI46</f>
        <v>0.04606267677938595</v>
      </c>
      <c r="AZ45" s="102">
        <f>+BK46</f>
        <v>139.07703999999998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38"/>
    </row>
    <row r="46" spans="1:63" ht="13.5" thickTop="1">
      <c r="A46" s="115"/>
      <c r="B46" s="64"/>
      <c r="C46" s="64"/>
      <c r="D46" s="64"/>
      <c r="E46" s="64"/>
      <c r="F46" s="64"/>
      <c r="G46" s="75"/>
      <c r="H46" s="64"/>
      <c r="I46" s="64"/>
      <c r="J46" s="120"/>
      <c r="K46" s="68"/>
      <c r="L46" s="64"/>
      <c r="M46" s="64"/>
      <c r="N46" s="64"/>
      <c r="O46" s="121"/>
      <c r="P46" s="64"/>
      <c r="Q46" s="64"/>
      <c r="R46" s="64"/>
      <c r="S46" s="64"/>
      <c r="T46" s="6"/>
      <c r="U46" s="31"/>
      <c r="V46" s="12"/>
      <c r="W46" s="6"/>
      <c r="Y46" s="6"/>
      <c r="AA46" s="18"/>
      <c r="AC46" s="6"/>
      <c r="AD46" s="6"/>
      <c r="AF46" s="78"/>
      <c r="AG46" s="68"/>
      <c r="AH46" s="68"/>
      <c r="AI46" s="68"/>
      <c r="AK46" s="125"/>
      <c r="AL46" s="65"/>
      <c r="AM46" s="65"/>
      <c r="AN46" s="93"/>
      <c r="AO46" s="68"/>
      <c r="AP46" s="64" t="s">
        <v>27</v>
      </c>
      <c r="AR46" s="67">
        <f>+BC47</f>
        <v>111.8</v>
      </c>
      <c r="AT46" s="98">
        <f>+BE47</f>
        <v>0.037028450303050374</v>
      </c>
      <c r="AV46" s="98">
        <f>+BG47</f>
        <v>0.0283</v>
      </c>
      <c r="AX46" s="98">
        <f>+BI47</f>
        <v>0.0010479051435763255</v>
      </c>
      <c r="AZ46" s="67">
        <f>+BK47</f>
        <v>3.2</v>
      </c>
      <c r="BA46" s="6" t="s">
        <v>25</v>
      </c>
      <c r="BB46" s="6"/>
      <c r="BC46" s="119">
        <v>1751.6</v>
      </c>
      <c r="BD46" s="6"/>
      <c r="BE46" s="4">
        <f>+BC46/BC53</f>
        <v>0.5801344682542311</v>
      </c>
      <c r="BF46" s="117"/>
      <c r="BG46" s="4">
        <f>+BG31</f>
        <v>0.0794</v>
      </c>
      <c r="BH46" s="4"/>
      <c r="BI46" s="4">
        <f>+BE46*BG46</f>
        <v>0.04606267677938595</v>
      </c>
      <c r="BJ46" s="4"/>
      <c r="BK46" s="41">
        <f>+BC46*BG46</f>
        <v>139.07703999999998</v>
      </c>
    </row>
    <row r="47" spans="1:63" ht="12.75">
      <c r="A47" s="43"/>
      <c r="B47" s="64"/>
      <c r="C47" s="64"/>
      <c r="D47" s="64"/>
      <c r="E47" s="64"/>
      <c r="F47" s="64"/>
      <c r="G47" s="64"/>
      <c r="H47" s="64"/>
      <c r="I47" s="64"/>
      <c r="J47" s="78"/>
      <c r="K47" s="64"/>
      <c r="L47" s="64"/>
      <c r="M47" s="64"/>
      <c r="N47" s="64"/>
      <c r="O47" s="122"/>
      <c r="P47" s="64"/>
      <c r="Q47" s="64"/>
      <c r="R47" s="64"/>
      <c r="S47" s="64"/>
      <c r="T47" s="64"/>
      <c r="U47" s="6"/>
      <c r="V47" s="64"/>
      <c r="W47" s="12"/>
      <c r="Y47" s="6"/>
      <c r="AA47" s="18"/>
      <c r="AC47" s="12"/>
      <c r="AD47" s="12"/>
      <c r="AE47" s="18"/>
      <c r="AF47" s="78"/>
      <c r="AG47" s="65"/>
      <c r="AH47" s="65"/>
      <c r="AI47" s="65"/>
      <c r="AK47" s="129"/>
      <c r="AL47" s="20"/>
      <c r="AM47" s="65"/>
      <c r="AN47" s="65"/>
      <c r="AO47" s="68"/>
      <c r="AP47" s="64" t="s">
        <v>33</v>
      </c>
      <c r="AQ47" s="64"/>
      <c r="AR47" s="67">
        <f>+BC50</f>
        <v>99.1</v>
      </c>
      <c r="AS47" s="65"/>
      <c r="AT47" s="98">
        <f>+BE50</f>
        <v>0.03285217732587023</v>
      </c>
      <c r="AU47" s="98"/>
      <c r="AV47" s="98">
        <f>+BG50</f>
        <v>0.05</v>
      </c>
      <c r="AW47" s="98"/>
      <c r="AX47" s="98">
        <f>+BI50</f>
        <v>0.0017126088662935115</v>
      </c>
      <c r="AY47" s="98"/>
      <c r="AZ47" s="67">
        <f>+BK50</f>
        <v>4.955</v>
      </c>
      <c r="BA47" s="6" t="s">
        <v>27</v>
      </c>
      <c r="BB47" s="6"/>
      <c r="BC47" s="3">
        <v>111.8</v>
      </c>
      <c r="BD47" s="6"/>
      <c r="BE47" s="4">
        <f>+BC47/BC53</f>
        <v>0.037028450303050374</v>
      </c>
      <c r="BF47" s="117"/>
      <c r="BG47" s="29">
        <v>0.0283</v>
      </c>
      <c r="BH47" s="4"/>
      <c r="BI47" s="4">
        <f>+BE47*BG47</f>
        <v>0.0010479051435763255</v>
      </c>
      <c r="BJ47" s="4"/>
      <c r="BK47" s="3">
        <f>ROUND(+BC47*BG47,1)</f>
        <v>3.2</v>
      </c>
    </row>
    <row r="48" spans="1:63" ht="15.75">
      <c r="A48" s="42"/>
      <c r="B48" s="64"/>
      <c r="C48" s="64"/>
      <c r="D48" s="64"/>
      <c r="E48" s="64"/>
      <c r="F48" s="64"/>
      <c r="G48" s="64"/>
      <c r="H48" s="64"/>
      <c r="I48" s="64"/>
      <c r="N48" s="64"/>
      <c r="P48" s="64"/>
      <c r="Q48" s="64"/>
      <c r="R48" s="64"/>
      <c r="S48" s="64"/>
      <c r="T48" s="64"/>
      <c r="U48" s="43" t="s">
        <v>76</v>
      </c>
      <c r="V48" s="64"/>
      <c r="W48" s="64"/>
      <c r="X48" s="6"/>
      <c r="Y48" s="6"/>
      <c r="Z48" s="6"/>
      <c r="AA48" s="6"/>
      <c r="AB48" s="6"/>
      <c r="AC48" s="64"/>
      <c r="AD48" s="64"/>
      <c r="AE48" s="18"/>
      <c r="AF48" s="65"/>
      <c r="AG48" s="131"/>
      <c r="AH48" s="20"/>
      <c r="AI48" s="20"/>
      <c r="AK48" s="130"/>
      <c r="AL48" s="20"/>
      <c r="AM48" s="65"/>
      <c r="AN48" s="65"/>
      <c r="AO48" s="65"/>
      <c r="AP48" s="64" t="s">
        <v>35</v>
      </c>
      <c r="AQ48" s="64"/>
      <c r="AR48" s="67">
        <f>+BC51</f>
        <v>1056.8</v>
      </c>
      <c r="AS48" s="65"/>
      <c r="AT48" s="98">
        <f>+BE51</f>
        <v>0.35</v>
      </c>
      <c r="AU48" s="98"/>
      <c r="AV48" s="98">
        <f>+BG51</f>
        <v>0.0966</v>
      </c>
      <c r="AW48" s="114"/>
      <c r="AX48" s="98">
        <f>+BI51</f>
        <v>0.03381</v>
      </c>
      <c r="AY48" s="98"/>
      <c r="AZ48" s="67">
        <f>+BK51</f>
        <v>102.08688000000001</v>
      </c>
      <c r="BA48" s="6"/>
      <c r="BB48" s="6"/>
      <c r="BC48" s="19">
        <f>SUM(BC46:BC47)</f>
        <v>1863.3999999999999</v>
      </c>
      <c r="BD48" s="20"/>
      <c r="BE48" s="5">
        <f>SUM(BE46:BE47)</f>
        <v>0.6171629185572814</v>
      </c>
      <c r="BF48" s="118"/>
      <c r="BG48" s="20"/>
      <c r="BH48" s="20"/>
      <c r="BI48" s="32">
        <f>SUM(BI46:BI47)</f>
        <v>0.047110581922962275</v>
      </c>
      <c r="BJ48" s="20"/>
      <c r="BK48" s="19">
        <f>SUM(BK46:BK47)</f>
        <v>142.27703999999997</v>
      </c>
    </row>
    <row r="49" spans="1:63" ht="13.5" thickBot="1">
      <c r="A49" s="42"/>
      <c r="B49" s="42"/>
      <c r="C49" s="64"/>
      <c r="D49" s="64"/>
      <c r="E49" s="64"/>
      <c r="F49" s="64"/>
      <c r="G49" s="64"/>
      <c r="H49" s="64"/>
      <c r="I49" s="64"/>
      <c r="M49" s="64"/>
      <c r="N49" s="68"/>
      <c r="O49" s="68"/>
      <c r="P49" s="64"/>
      <c r="Q49" s="64"/>
      <c r="R49" s="64"/>
      <c r="S49" s="64"/>
      <c r="T49" s="64"/>
      <c r="U49" s="78"/>
      <c r="V49" s="68"/>
      <c r="W49" s="64"/>
      <c r="X49" s="12"/>
      <c r="Y49" s="12"/>
      <c r="Z49" s="12"/>
      <c r="AA49" s="12"/>
      <c r="AB49" s="12"/>
      <c r="AC49" s="64"/>
      <c r="AD49" s="64"/>
      <c r="AE49" s="18"/>
      <c r="AI49" s="55"/>
      <c r="AJ49" s="55"/>
      <c r="AK49" s="55"/>
      <c r="AL49" s="55"/>
      <c r="AM49" s="55"/>
      <c r="AN49" s="65"/>
      <c r="AO49" s="65"/>
      <c r="AP49" s="64"/>
      <c r="AQ49" s="64"/>
      <c r="AR49" s="96">
        <f>SUM(AR45:AR48)</f>
        <v>3019.2999999999997</v>
      </c>
      <c r="AS49" s="65"/>
      <c r="AT49" s="97">
        <f>+BE53</f>
        <v>1.0000150958831515</v>
      </c>
      <c r="AU49" s="98"/>
      <c r="AV49" s="65"/>
      <c r="AW49" s="65"/>
      <c r="AX49" s="97">
        <f>+BI53</f>
        <v>0.0826331907892558</v>
      </c>
      <c r="AY49" s="65"/>
      <c r="AZ49" s="96">
        <f>SUM(AZ45:AZ48)</f>
        <v>249.31892</v>
      </c>
      <c r="BA49" s="6"/>
      <c r="BB49" s="6"/>
      <c r="BC49" s="6"/>
      <c r="BD49" s="6"/>
      <c r="BE49" s="6"/>
      <c r="BF49" s="117"/>
      <c r="BG49" s="6"/>
      <c r="BH49" s="6"/>
      <c r="BI49" s="6"/>
      <c r="BJ49" s="6"/>
      <c r="BK49" s="3"/>
    </row>
    <row r="50" spans="1:63" ht="16.5" thickTop="1">
      <c r="A50" s="42"/>
      <c r="B50" s="42"/>
      <c r="C50" s="64"/>
      <c r="D50" s="64"/>
      <c r="E50" s="64"/>
      <c r="F50" s="64"/>
      <c r="G50" s="64"/>
      <c r="H50" s="64"/>
      <c r="I50" s="64"/>
      <c r="J50" s="78"/>
      <c r="K50" s="68"/>
      <c r="L50" s="68"/>
      <c r="M50" s="68"/>
      <c r="N50" s="68"/>
      <c r="O50" s="68"/>
      <c r="P50" s="64"/>
      <c r="Q50" s="64"/>
      <c r="R50" s="64"/>
      <c r="S50" s="64"/>
      <c r="T50" s="64"/>
      <c r="U50" s="78"/>
      <c r="V50" s="123"/>
      <c r="W50" s="68"/>
      <c r="X50" s="64"/>
      <c r="Y50" s="64"/>
      <c r="Z50" s="64"/>
      <c r="AA50" s="64"/>
      <c r="AB50" s="64"/>
      <c r="AC50" s="68"/>
      <c r="AD50" s="68"/>
      <c r="AE50" s="18"/>
      <c r="AJ50" s="135"/>
      <c r="AN50" s="55"/>
      <c r="AO50" s="20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" t="s">
        <v>33</v>
      </c>
      <c r="BB50" s="6"/>
      <c r="BC50" s="28">
        <v>99.1</v>
      </c>
      <c r="BD50" s="6"/>
      <c r="BE50" s="4">
        <f>+BC50/BC53+0.00003</f>
        <v>0.03285217732587023</v>
      </c>
      <c r="BF50" s="117"/>
      <c r="BG50" s="4">
        <f>+BG37</f>
        <v>0.05</v>
      </c>
      <c r="BH50" s="4"/>
      <c r="BI50" s="166">
        <f>BE50*BG50+0.00007</f>
        <v>0.0017126088662935115</v>
      </c>
      <c r="BJ50" s="4"/>
      <c r="BK50" s="3">
        <f>+BC50*BG50</f>
        <v>4.955</v>
      </c>
    </row>
    <row r="51" spans="1:63" ht="15.75">
      <c r="A51" s="42"/>
      <c r="B51" s="42"/>
      <c r="C51" s="64"/>
      <c r="D51" s="64"/>
      <c r="E51" s="64"/>
      <c r="F51" s="64"/>
      <c r="G51" s="64"/>
      <c r="H51" s="64"/>
      <c r="I51" s="64"/>
      <c r="J51" s="42"/>
      <c r="L51" s="68"/>
      <c r="M51" s="68"/>
      <c r="P51" s="68"/>
      <c r="Q51" s="64"/>
      <c r="R51" s="68"/>
      <c r="S51" s="64"/>
      <c r="T51" s="68"/>
      <c r="U51" s="78"/>
      <c r="V51" s="123"/>
      <c r="W51" s="68"/>
      <c r="X51" s="64"/>
      <c r="Y51" s="64"/>
      <c r="Z51" s="64"/>
      <c r="AA51" s="64"/>
      <c r="AB51" s="64"/>
      <c r="AC51" s="68"/>
      <c r="AD51" s="68"/>
      <c r="AE51" s="69"/>
      <c r="AM51" s="20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" t="s">
        <v>35</v>
      </c>
      <c r="BB51" s="6"/>
      <c r="BC51" s="3">
        <v>1056.8</v>
      </c>
      <c r="BD51" s="6"/>
      <c r="BE51" s="4">
        <f>+BE38</f>
        <v>0.35</v>
      </c>
      <c r="BF51" s="117"/>
      <c r="BG51" s="29">
        <v>0.0966</v>
      </c>
      <c r="BH51" s="4"/>
      <c r="BI51" s="4">
        <f>+BE51*BG51</f>
        <v>0.03381</v>
      </c>
      <c r="BJ51" s="4"/>
      <c r="BK51" s="3">
        <f>+BC51*BG51</f>
        <v>102.08688000000001</v>
      </c>
    </row>
    <row r="52" spans="1:63" ht="15.75">
      <c r="A52" s="42"/>
      <c r="B52" s="42"/>
      <c r="C52" s="64"/>
      <c r="D52" s="64"/>
      <c r="E52" s="64"/>
      <c r="F52" s="64"/>
      <c r="G52" s="64"/>
      <c r="H52" s="64"/>
      <c r="I52" s="64"/>
      <c r="J52" s="42"/>
      <c r="P52" s="68"/>
      <c r="Q52" s="64"/>
      <c r="R52" s="68"/>
      <c r="S52" s="64"/>
      <c r="T52" s="68"/>
      <c r="U52" s="78"/>
      <c r="V52" s="68"/>
      <c r="W52" s="123"/>
      <c r="X52" s="68"/>
      <c r="Y52" s="68"/>
      <c r="Z52" s="68"/>
      <c r="AA52" s="68"/>
      <c r="AB52" s="68"/>
      <c r="AC52" s="68"/>
      <c r="AE52" s="69"/>
      <c r="AF52" s="56"/>
      <c r="AG52" s="20"/>
      <c r="AH52" s="20"/>
      <c r="AI52" s="20"/>
      <c r="AJ52" s="20"/>
      <c r="AK52" s="20"/>
      <c r="AL52" s="55"/>
      <c r="AM52" s="55"/>
      <c r="AN52" s="66"/>
      <c r="AO52" s="49"/>
      <c r="AP52" s="70"/>
      <c r="AQ52" s="64"/>
      <c r="AR52" s="73"/>
      <c r="AS52" s="64"/>
      <c r="AT52" s="64"/>
      <c r="AU52" s="64"/>
      <c r="AV52" s="64"/>
      <c r="AW52" s="64"/>
      <c r="AX52" s="64"/>
      <c r="AY52" s="64"/>
      <c r="AZ52" s="64"/>
      <c r="BA52" s="188" t="s">
        <v>121</v>
      </c>
      <c r="BB52" s="6"/>
      <c r="BC52" s="3"/>
      <c r="BD52" s="6"/>
      <c r="BE52" s="4"/>
      <c r="BF52" s="117"/>
      <c r="BG52" s="29"/>
      <c r="BH52" s="4"/>
      <c r="BI52" s="4"/>
      <c r="BJ52" s="4"/>
      <c r="BK52" s="165">
        <v>0.1</v>
      </c>
    </row>
    <row r="53" spans="1:63" ht="13.5" thickBot="1">
      <c r="A53" s="42"/>
      <c r="B53" s="42"/>
      <c r="C53" s="64"/>
      <c r="D53" s="64"/>
      <c r="E53" s="64"/>
      <c r="F53" s="64"/>
      <c r="G53" s="64"/>
      <c r="H53" s="64"/>
      <c r="I53" s="64"/>
      <c r="J53" s="64"/>
      <c r="Q53" s="68"/>
      <c r="S53" s="68"/>
      <c r="U53" s="78"/>
      <c r="V53" s="68"/>
      <c r="W53" s="68"/>
      <c r="X53" s="68"/>
      <c r="Y53" s="68"/>
      <c r="Z53" s="68"/>
      <c r="AA53" s="68"/>
      <c r="AB53" s="68"/>
      <c r="AC53" s="68"/>
      <c r="AD53" s="68"/>
      <c r="AE53" s="65"/>
      <c r="AF53" s="20"/>
      <c r="AG53" s="20"/>
      <c r="AH53" s="20"/>
      <c r="AI53" s="47"/>
      <c r="AJ53" s="48"/>
      <c r="AK53" s="49"/>
      <c r="AL53" s="20"/>
      <c r="AM53" s="55"/>
      <c r="AN53" s="55"/>
      <c r="AO53" s="49"/>
      <c r="AP53" s="78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"/>
      <c r="BB53" s="6"/>
      <c r="BC53" s="23">
        <f>+T40</f>
        <v>3019.3</v>
      </c>
      <c r="BD53" s="20"/>
      <c r="BE53" s="116">
        <f>+BE46+BE47+BE50+BE51</f>
        <v>1.0000150958831515</v>
      </c>
      <c r="BF53" s="118"/>
      <c r="BG53" s="20"/>
      <c r="BH53" s="20"/>
      <c r="BI53" s="24">
        <f>+BI48+BI50+BI51</f>
        <v>0.0826331907892558</v>
      </c>
      <c r="BJ53" s="20"/>
      <c r="BK53" s="23">
        <f>+BK48+BK50+BK51+BK52</f>
        <v>249.41891999999999</v>
      </c>
    </row>
    <row r="54" spans="1:63" ht="16.5" thickTop="1">
      <c r="A54" s="42"/>
      <c r="B54" s="42"/>
      <c r="C54" s="64"/>
      <c r="D54" s="64"/>
      <c r="E54" s="64"/>
      <c r="F54" s="64"/>
      <c r="G54" s="64"/>
      <c r="H54" s="64"/>
      <c r="I54" s="64"/>
      <c r="J54" s="64"/>
      <c r="Q54" s="68"/>
      <c r="S54" s="68"/>
      <c r="X54" s="123"/>
      <c r="Y54" s="68"/>
      <c r="Z54" s="68"/>
      <c r="AA54" s="68"/>
      <c r="AB54" s="68"/>
      <c r="AF54" s="20"/>
      <c r="AG54" s="20"/>
      <c r="AH54" s="20"/>
      <c r="AI54" s="47"/>
      <c r="AJ54" s="48"/>
      <c r="AK54" s="49"/>
      <c r="AL54" s="20"/>
      <c r="AM54" s="55"/>
      <c r="AN54" s="55"/>
      <c r="AO54" s="55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"/>
      <c r="BB54" s="6"/>
      <c r="BC54" s="6"/>
      <c r="BD54" s="6"/>
      <c r="BE54" s="6"/>
      <c r="BF54" s="117"/>
      <c r="BG54" s="6"/>
      <c r="BH54" s="6"/>
      <c r="BI54" s="6"/>
      <c r="BJ54" s="6"/>
      <c r="BK54" s="6"/>
    </row>
    <row r="55" spans="1:63" ht="15.75">
      <c r="A55" s="42"/>
      <c r="B55" s="42"/>
      <c r="C55" s="64"/>
      <c r="D55" s="64"/>
      <c r="E55" s="64"/>
      <c r="F55" s="64"/>
      <c r="G55" s="64"/>
      <c r="H55" s="64"/>
      <c r="I55" s="64"/>
      <c r="J55" s="68"/>
      <c r="U55" s="115"/>
      <c r="X55" s="68"/>
      <c r="Y55" s="68"/>
      <c r="Z55" s="68"/>
      <c r="AA55" s="68"/>
      <c r="AB55" s="68"/>
      <c r="AE55" s="65"/>
      <c r="AF55" s="57"/>
      <c r="AG55" s="20"/>
      <c r="AH55" s="20"/>
      <c r="AI55" s="47"/>
      <c r="AJ55" s="20"/>
      <c r="AK55" s="47"/>
      <c r="AL55" s="20"/>
      <c r="AM55" s="20"/>
      <c r="AN55" s="55"/>
      <c r="AO55" s="55"/>
      <c r="AP55" s="70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"/>
      <c r="BB55" s="6"/>
      <c r="BC55" s="3"/>
      <c r="BD55" s="6"/>
      <c r="BE55" s="6"/>
      <c r="BF55" s="6"/>
      <c r="BG55" s="6"/>
      <c r="BH55" s="6"/>
      <c r="BI55" s="6"/>
      <c r="BJ55" s="6"/>
      <c r="BK55" s="6"/>
    </row>
    <row r="56" spans="1:63" ht="15.75">
      <c r="A56" s="64"/>
      <c r="B56" s="64"/>
      <c r="C56" s="64"/>
      <c r="D56" s="64"/>
      <c r="E56" s="64"/>
      <c r="F56" s="64"/>
      <c r="G56" s="64"/>
      <c r="H56" s="64"/>
      <c r="I56" s="64"/>
      <c r="J56" s="68"/>
      <c r="AE56" s="65"/>
      <c r="AF56" s="51"/>
      <c r="AG56" s="20"/>
      <c r="AH56" s="20"/>
      <c r="AI56" s="20"/>
      <c r="AJ56" s="20"/>
      <c r="AK56" s="48"/>
      <c r="AL56" s="20"/>
      <c r="AM56" s="49"/>
      <c r="AN56" s="55"/>
      <c r="AO56" s="55"/>
      <c r="AP56" s="42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5.75">
      <c r="A57" s="64"/>
      <c r="B57" s="64"/>
      <c r="C57" s="64"/>
      <c r="D57" s="64"/>
      <c r="E57" s="64"/>
      <c r="F57" s="64"/>
      <c r="G57" s="64"/>
      <c r="H57" s="64"/>
      <c r="I57" s="64"/>
      <c r="AE57" s="65"/>
      <c r="AF57" s="57"/>
      <c r="AG57" s="20"/>
      <c r="AH57" s="20"/>
      <c r="AI57" s="30"/>
      <c r="AJ57" s="20"/>
      <c r="AK57" s="30"/>
      <c r="AL57" s="20"/>
      <c r="AM57" s="47"/>
      <c r="AN57" s="20"/>
      <c r="AO57" s="55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5.75">
      <c r="A58" s="64"/>
      <c r="B58" s="64"/>
      <c r="C58" s="64"/>
      <c r="D58" s="64"/>
      <c r="E58" s="64"/>
      <c r="F58" s="64"/>
      <c r="G58" s="64"/>
      <c r="H58" s="64"/>
      <c r="I58" s="64"/>
      <c r="AE58" s="65"/>
      <c r="AF58" s="52"/>
      <c r="AG58" s="48"/>
      <c r="AH58" s="48"/>
      <c r="AI58" s="48"/>
      <c r="AJ58" s="48"/>
      <c r="AK58" s="48"/>
      <c r="AL58" s="50"/>
      <c r="AM58" s="47"/>
      <c r="AN58" s="20"/>
      <c r="AO58" s="20"/>
      <c r="BA58" s="27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15.75">
      <c r="A59" s="64"/>
      <c r="B59" s="64"/>
      <c r="C59" s="64"/>
      <c r="D59" s="64"/>
      <c r="E59" s="64"/>
      <c r="F59" s="64"/>
      <c r="G59" s="64"/>
      <c r="H59" s="64"/>
      <c r="I59" s="64"/>
      <c r="AE59" s="20"/>
      <c r="AF59" s="57"/>
      <c r="AG59" s="48"/>
      <c r="AH59" s="48"/>
      <c r="AI59" s="48"/>
      <c r="AJ59" s="48"/>
      <c r="AK59" s="48"/>
      <c r="AL59" s="48"/>
      <c r="AM59" s="20"/>
      <c r="AN59" s="20"/>
      <c r="AO59" s="20"/>
      <c r="BA59" s="2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5.75">
      <c r="A60" s="6"/>
      <c r="B60" s="64"/>
      <c r="C60" s="6"/>
      <c r="D60" s="64"/>
      <c r="E60" s="6"/>
      <c r="F60" s="6"/>
      <c r="G60" s="6"/>
      <c r="H60" s="6"/>
      <c r="I60" s="6"/>
      <c r="AE60" s="57"/>
      <c r="AF60" s="48"/>
      <c r="AG60" s="48"/>
      <c r="AH60" s="48"/>
      <c r="AI60" s="48"/>
      <c r="AJ60" s="48"/>
      <c r="AK60" s="48"/>
      <c r="AL60" s="48"/>
      <c r="AM60" s="30"/>
      <c r="AN60" s="20"/>
      <c r="AO60" s="20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41" ht="15.75">
      <c r="A61" s="6"/>
      <c r="B61" s="6"/>
      <c r="C61" s="6"/>
      <c r="D61" s="6"/>
      <c r="E61" s="6"/>
      <c r="F61" s="6"/>
      <c r="G61" s="6"/>
      <c r="H61" s="6"/>
      <c r="I61" s="6"/>
      <c r="AE61" s="51"/>
      <c r="AF61" s="48"/>
      <c r="AG61" s="48"/>
      <c r="AH61" s="48"/>
      <c r="AI61" s="48"/>
      <c r="AJ61" s="48"/>
      <c r="AK61" s="48"/>
      <c r="AL61" s="48"/>
      <c r="AM61" s="48"/>
      <c r="AN61" s="20"/>
      <c r="AO61" s="47"/>
    </row>
    <row r="62" spans="2:41" ht="15.75">
      <c r="B62" s="6"/>
      <c r="D62" s="6"/>
      <c r="AE62" s="57"/>
      <c r="AF62" s="48"/>
      <c r="AG62" s="48"/>
      <c r="AH62" s="48"/>
      <c r="AI62" s="48"/>
      <c r="AJ62" s="48"/>
      <c r="AK62" s="48"/>
      <c r="AL62" s="48"/>
      <c r="AM62" s="48"/>
      <c r="AN62" s="50"/>
      <c r="AO62" s="20"/>
    </row>
    <row r="63" spans="31:41" ht="15.75">
      <c r="AE63" s="52"/>
      <c r="AF63" s="48"/>
      <c r="AG63" s="48"/>
      <c r="AH63" s="48"/>
      <c r="AI63" s="48"/>
      <c r="AJ63" s="48"/>
      <c r="AK63" s="48"/>
      <c r="AL63" s="48"/>
      <c r="AM63" s="48"/>
      <c r="AN63" s="48"/>
      <c r="AO63" s="30"/>
    </row>
    <row r="64" spans="31:41" ht="15.75">
      <c r="AE64" s="57"/>
      <c r="AF64" s="48"/>
      <c r="AG64" s="20"/>
      <c r="AH64" s="20"/>
      <c r="AI64" s="20"/>
      <c r="AJ64" s="20"/>
      <c r="AK64" s="20"/>
      <c r="AL64" s="48"/>
      <c r="AM64" s="48"/>
      <c r="AN64" s="48"/>
      <c r="AO64" s="48"/>
    </row>
    <row r="65" spans="31:41" ht="12.75">
      <c r="AE65" s="48"/>
      <c r="AF65" s="48"/>
      <c r="AG65" s="20"/>
      <c r="AH65" s="20"/>
      <c r="AI65" s="20"/>
      <c r="AJ65" s="20"/>
      <c r="AK65" s="20"/>
      <c r="AL65" s="20"/>
      <c r="AM65" s="48"/>
      <c r="AN65" s="48"/>
      <c r="AO65" s="48"/>
    </row>
    <row r="66" spans="31:41" ht="12.75">
      <c r="AE66" s="48"/>
      <c r="AF66" s="20"/>
      <c r="AG66" s="20"/>
      <c r="AH66" s="20"/>
      <c r="AI66" s="20"/>
      <c r="AJ66" s="20"/>
      <c r="AK66" s="20"/>
      <c r="AL66" s="20"/>
      <c r="AM66" s="48"/>
      <c r="AN66" s="48"/>
      <c r="AO66" s="48"/>
    </row>
    <row r="67" spans="31:41" ht="12.75">
      <c r="AE67" s="48"/>
      <c r="AF67" s="20"/>
      <c r="AG67" s="55"/>
      <c r="AH67" s="55"/>
      <c r="AI67" s="55"/>
      <c r="AJ67" s="55"/>
      <c r="AK67" s="55"/>
      <c r="AL67" s="20"/>
      <c r="AM67" s="20"/>
      <c r="AN67" s="48"/>
      <c r="AO67" s="48"/>
    </row>
    <row r="68" spans="31:41" ht="12.75">
      <c r="AE68" s="48"/>
      <c r="AF68" s="54"/>
      <c r="AG68" s="55"/>
      <c r="AH68" s="55"/>
      <c r="AI68" s="55"/>
      <c r="AJ68" s="55"/>
      <c r="AK68" s="55"/>
      <c r="AL68" s="55"/>
      <c r="AM68" s="20"/>
      <c r="AN68" s="48"/>
      <c r="AO68" s="48"/>
    </row>
    <row r="69" spans="31:41" ht="12.75">
      <c r="AE69" s="48"/>
      <c r="AF69" s="54"/>
      <c r="AG69" s="55"/>
      <c r="AH69" s="55"/>
      <c r="AI69" s="55"/>
      <c r="AJ69" s="55"/>
      <c r="AK69" s="55"/>
      <c r="AL69" s="55"/>
      <c r="AM69" s="20"/>
      <c r="AN69" s="20"/>
      <c r="AO69" s="48"/>
    </row>
    <row r="70" spans="31:41" ht="12.75">
      <c r="AE70" s="48"/>
      <c r="AF70" s="54"/>
      <c r="AG70" s="55"/>
      <c r="AH70" s="55"/>
      <c r="AI70" s="55"/>
      <c r="AJ70" s="55"/>
      <c r="AK70" s="55"/>
      <c r="AL70" s="55"/>
      <c r="AM70" s="55"/>
      <c r="AN70" s="20"/>
      <c r="AO70" s="49"/>
    </row>
    <row r="71" spans="31:41" ht="12.75">
      <c r="AE71" s="20"/>
      <c r="AF71" s="56"/>
      <c r="AG71" s="20"/>
      <c r="AH71" s="20"/>
      <c r="AI71" s="20"/>
      <c r="AJ71" s="20"/>
      <c r="AK71" s="20"/>
      <c r="AL71" s="55"/>
      <c r="AM71" s="55"/>
      <c r="AN71" s="20"/>
      <c r="AO71" s="49"/>
    </row>
    <row r="72" spans="31:41" ht="12.75">
      <c r="AE72" s="20"/>
      <c r="AF72" s="20"/>
      <c r="AG72" s="20"/>
      <c r="AH72" s="20"/>
      <c r="AI72" s="47"/>
      <c r="AJ72" s="48"/>
      <c r="AK72" s="49"/>
      <c r="AL72" s="20"/>
      <c r="AM72" s="55"/>
      <c r="AN72" s="55"/>
      <c r="AO72" s="49"/>
    </row>
    <row r="73" spans="31:41" ht="12.75">
      <c r="AE73" s="20"/>
      <c r="AF73" s="20"/>
      <c r="AG73" s="48"/>
      <c r="AH73" s="48"/>
      <c r="AI73" s="48"/>
      <c r="AJ73" s="48"/>
      <c r="AK73" s="48"/>
      <c r="AL73" s="20"/>
      <c r="AM73" s="55"/>
      <c r="AN73" s="55"/>
      <c r="AO73" s="55"/>
    </row>
    <row r="74" spans="31:41" ht="12.75">
      <c r="AE74" s="20"/>
      <c r="AF74" s="58"/>
      <c r="AG74" s="48"/>
      <c r="AH74" s="48"/>
      <c r="AI74" s="59"/>
      <c r="AJ74" s="48"/>
      <c r="AK74" s="59"/>
      <c r="AL74" s="48"/>
      <c r="AM74" s="20"/>
      <c r="AN74" s="55"/>
      <c r="AO74" s="55"/>
    </row>
    <row r="75" spans="31:41" ht="12.75">
      <c r="AE75" s="58"/>
      <c r="AF75" s="48"/>
      <c r="AG75" s="48"/>
      <c r="AH75" s="48"/>
      <c r="AI75" s="60"/>
      <c r="AJ75" s="48"/>
      <c r="AK75" s="60"/>
      <c r="AL75" s="48"/>
      <c r="AM75" s="49"/>
      <c r="AN75" s="55"/>
      <c r="AO75" s="55"/>
    </row>
    <row r="76" spans="31:41" ht="12.75">
      <c r="AE76" s="48"/>
      <c r="AF76" s="48"/>
      <c r="AG76" s="48"/>
      <c r="AH76" s="48"/>
      <c r="AI76" s="60"/>
      <c r="AJ76" s="48"/>
      <c r="AK76" s="60"/>
      <c r="AL76" s="48"/>
      <c r="AM76" s="48"/>
      <c r="AN76" s="20"/>
      <c r="AO76" s="55"/>
    </row>
    <row r="77" spans="31:41" ht="12.75">
      <c r="AE77" s="48"/>
      <c r="AF77" s="48"/>
      <c r="AG77" s="48"/>
      <c r="AH77" s="48"/>
      <c r="AI77" s="61"/>
      <c r="AJ77" s="61"/>
      <c r="AK77" s="61"/>
      <c r="AL77" s="48"/>
      <c r="AM77" s="59"/>
      <c r="AN77" s="20"/>
      <c r="AO77" s="20"/>
    </row>
    <row r="78" spans="31:41" ht="12.75">
      <c r="AE78" s="48"/>
      <c r="AF78" s="48"/>
      <c r="AG78" s="48"/>
      <c r="AH78" s="48"/>
      <c r="AI78" s="61"/>
      <c r="AJ78" s="61"/>
      <c r="AK78" s="61"/>
      <c r="AL78" s="62"/>
      <c r="AM78" s="48"/>
      <c r="AN78" s="48"/>
      <c r="AO78" s="20"/>
    </row>
    <row r="79" spans="31:41" ht="12.75">
      <c r="AE79" s="48"/>
      <c r="AF79" s="48"/>
      <c r="AG79" s="48"/>
      <c r="AH79" s="48"/>
      <c r="AI79" s="61"/>
      <c r="AJ79" s="61"/>
      <c r="AK79" s="61"/>
      <c r="AL79" s="62"/>
      <c r="AM79" s="48"/>
      <c r="AN79" s="48"/>
      <c r="AO79" s="48"/>
    </row>
    <row r="80" spans="31:41" ht="12.75">
      <c r="AE80" s="48"/>
      <c r="AF80" s="48"/>
      <c r="AG80" s="48"/>
      <c r="AH80" s="48"/>
      <c r="AI80" s="61"/>
      <c r="AJ80" s="61"/>
      <c r="AK80" s="61"/>
      <c r="AL80" s="62"/>
      <c r="AM80" s="62"/>
      <c r="AN80" s="48"/>
      <c r="AO80" s="48"/>
    </row>
    <row r="81" spans="31:41" ht="12.75">
      <c r="AE81" s="48"/>
      <c r="AF81" s="48"/>
      <c r="AG81" s="48"/>
      <c r="AH81" s="48"/>
      <c r="AI81" s="61"/>
      <c r="AJ81" s="61"/>
      <c r="AK81" s="61"/>
      <c r="AL81" s="62"/>
      <c r="AM81" s="62"/>
      <c r="AN81" s="48"/>
      <c r="AO81" s="48"/>
    </row>
    <row r="82" spans="31:41" ht="12.75">
      <c r="AE82" s="48"/>
      <c r="AF82" s="48"/>
      <c r="AG82" s="48"/>
      <c r="AH82" s="48"/>
      <c r="AI82" s="61"/>
      <c r="AJ82" s="61"/>
      <c r="AK82" s="61"/>
      <c r="AL82" s="62"/>
      <c r="AM82" s="62"/>
      <c r="AN82" s="48"/>
      <c r="AO82" s="48"/>
    </row>
    <row r="83" spans="31:41" ht="12.75">
      <c r="AE83" s="48"/>
      <c r="AF83" s="48"/>
      <c r="AG83" s="48"/>
      <c r="AH83" s="48"/>
      <c r="AI83" s="61"/>
      <c r="AJ83" s="61"/>
      <c r="AK83" s="61"/>
      <c r="AL83" s="62"/>
      <c r="AM83" s="62"/>
      <c r="AN83" s="48"/>
      <c r="AO83" s="48"/>
    </row>
    <row r="84" spans="31:41" ht="12.75">
      <c r="AE84" s="48"/>
      <c r="AF84" s="48"/>
      <c r="AG84" s="48"/>
      <c r="AH84" s="48"/>
      <c r="AI84" s="61"/>
      <c r="AJ84" s="61"/>
      <c r="AK84" s="61"/>
      <c r="AL84" s="62"/>
      <c r="AM84" s="62"/>
      <c r="AN84" s="48"/>
      <c r="AO84" s="48"/>
    </row>
    <row r="85" spans="31:41" ht="12.75">
      <c r="AE85" s="48"/>
      <c r="AF85" s="48"/>
      <c r="AG85" s="48"/>
      <c r="AH85" s="48"/>
      <c r="AI85" s="61"/>
      <c r="AJ85" s="61"/>
      <c r="AK85" s="61"/>
      <c r="AL85" s="62"/>
      <c r="AM85" s="62"/>
      <c r="AN85" s="48"/>
      <c r="AO85" s="48"/>
    </row>
    <row r="86" spans="31:41" ht="12.75">
      <c r="AE86" s="48"/>
      <c r="AF86" s="48"/>
      <c r="AG86" s="48"/>
      <c r="AH86" s="48"/>
      <c r="AI86" s="61"/>
      <c r="AJ86" s="61"/>
      <c r="AK86" s="61"/>
      <c r="AL86" s="62"/>
      <c r="AM86" s="62"/>
      <c r="AN86" s="48"/>
      <c r="AO86" s="48"/>
    </row>
    <row r="87" spans="31:41" ht="12.75">
      <c r="AE87" s="48"/>
      <c r="AF87" s="48"/>
      <c r="AG87" s="48"/>
      <c r="AH87" s="48"/>
      <c r="AI87" s="61"/>
      <c r="AJ87" s="61"/>
      <c r="AK87" s="61"/>
      <c r="AL87" s="62"/>
      <c r="AM87" s="62"/>
      <c r="AN87" s="48"/>
      <c r="AO87" s="48"/>
    </row>
    <row r="88" spans="31:41" ht="12.75">
      <c r="AE88" s="48"/>
      <c r="AF88" s="48"/>
      <c r="AG88" s="48"/>
      <c r="AH88" s="48"/>
      <c r="AI88" s="63"/>
      <c r="AJ88" s="61"/>
      <c r="AK88" s="63"/>
      <c r="AL88" s="62"/>
      <c r="AM88" s="62"/>
      <c r="AN88" s="48"/>
      <c r="AO88" s="48"/>
    </row>
    <row r="89" spans="31:41" ht="12.75">
      <c r="AE89" s="48"/>
      <c r="AF89" s="48"/>
      <c r="AG89" s="48"/>
      <c r="AH89" s="48"/>
      <c r="AI89" s="61"/>
      <c r="AJ89" s="61"/>
      <c r="AK89" s="61"/>
      <c r="AL89" s="62"/>
      <c r="AM89" s="62"/>
      <c r="AN89" s="48"/>
      <c r="AO89" s="48"/>
    </row>
    <row r="90" spans="31:41" ht="12.75">
      <c r="AE90" s="48"/>
      <c r="AF90" s="48"/>
      <c r="AG90" s="48"/>
      <c r="AH90" s="48"/>
      <c r="AI90" s="61"/>
      <c r="AJ90" s="61"/>
      <c r="AK90" s="61"/>
      <c r="AL90" s="62"/>
      <c r="AM90" s="62"/>
      <c r="AN90" s="48"/>
      <c r="AO90" s="48"/>
    </row>
    <row r="91" spans="31:41" ht="12.75">
      <c r="AE91" s="48"/>
      <c r="AF91" s="48"/>
      <c r="AG91" s="48"/>
      <c r="AH91" s="48"/>
      <c r="AI91" s="61"/>
      <c r="AJ91" s="61"/>
      <c r="AK91" s="61"/>
      <c r="AL91" s="61"/>
      <c r="AM91" s="62"/>
      <c r="AN91" s="48"/>
      <c r="AO91" s="48"/>
    </row>
    <row r="92" spans="31:41" ht="12.75">
      <c r="AE92" s="48"/>
      <c r="AF92" s="48"/>
      <c r="AG92" s="48"/>
      <c r="AH92" s="48"/>
      <c r="AI92" s="61"/>
      <c r="AJ92" s="61"/>
      <c r="AK92" s="61"/>
      <c r="AL92" s="61"/>
      <c r="AM92" s="62"/>
      <c r="AN92" s="48"/>
      <c r="AO92" s="48"/>
    </row>
    <row r="93" spans="31:41" ht="12.75">
      <c r="AE93" s="48"/>
      <c r="AF93" s="48"/>
      <c r="AG93" s="48"/>
      <c r="AH93" s="48"/>
      <c r="AI93" s="61"/>
      <c r="AJ93" s="61"/>
      <c r="AK93" s="61"/>
      <c r="AL93" s="61"/>
      <c r="AM93" s="61"/>
      <c r="AN93" s="48"/>
      <c r="AO93" s="48"/>
    </row>
    <row r="94" spans="29:41" ht="12.75">
      <c r="AC94" s="53"/>
      <c r="AE94" s="48"/>
      <c r="AF94" s="48"/>
      <c r="AG94" s="48"/>
      <c r="AH94" s="48"/>
      <c r="AI94" s="61"/>
      <c r="AJ94" s="61"/>
      <c r="AK94" s="61"/>
      <c r="AL94" s="61"/>
      <c r="AM94" s="61"/>
      <c r="AN94" s="48"/>
      <c r="AO94" s="48"/>
    </row>
    <row r="95" spans="29:41" ht="12.75">
      <c r="AC95" s="53"/>
      <c r="AE95" s="48"/>
      <c r="AF95" s="48"/>
      <c r="AG95" s="48"/>
      <c r="AH95" s="48"/>
      <c r="AI95" s="61"/>
      <c r="AJ95" s="61"/>
      <c r="AK95" s="61"/>
      <c r="AL95" s="61"/>
      <c r="AM95" s="61"/>
      <c r="AN95" s="61"/>
      <c r="AO95" s="48"/>
    </row>
    <row r="96" spans="24:41" ht="12.75">
      <c r="X96" s="53"/>
      <c r="Y96" s="53"/>
      <c r="Z96" s="53"/>
      <c r="AA96" s="53"/>
      <c r="AB96" s="53"/>
      <c r="AC96" s="53"/>
      <c r="AE96" s="48"/>
      <c r="AF96" s="48"/>
      <c r="AG96" s="48"/>
      <c r="AH96" s="48"/>
      <c r="AI96" s="61"/>
      <c r="AJ96" s="61"/>
      <c r="AK96" s="61"/>
      <c r="AL96" s="61"/>
      <c r="AM96" s="61"/>
      <c r="AN96" s="61"/>
      <c r="AO96" s="48"/>
    </row>
    <row r="97" spans="24:41" ht="12.75">
      <c r="X97" s="53"/>
      <c r="Y97" s="53"/>
      <c r="Z97" s="53"/>
      <c r="AA97" s="53"/>
      <c r="AB97" s="53"/>
      <c r="AC97" s="53"/>
      <c r="AE97" s="48"/>
      <c r="AF97" s="48"/>
      <c r="AG97" s="48"/>
      <c r="AH97" s="48"/>
      <c r="AI97" s="61"/>
      <c r="AJ97" s="61"/>
      <c r="AK97" s="61"/>
      <c r="AL97" s="61"/>
      <c r="AM97" s="61"/>
      <c r="AN97" s="61"/>
      <c r="AO97" s="48"/>
    </row>
    <row r="98" spans="24:41" ht="12.75">
      <c r="X98" s="53"/>
      <c r="Y98" s="53"/>
      <c r="Z98" s="53"/>
      <c r="AA98" s="53"/>
      <c r="AB98" s="53"/>
      <c r="AC98" s="53"/>
      <c r="AE98" s="48"/>
      <c r="AF98" s="48"/>
      <c r="AG98" s="48"/>
      <c r="AH98" s="48"/>
      <c r="AI98" s="61"/>
      <c r="AJ98" s="61"/>
      <c r="AK98" s="61"/>
      <c r="AL98" s="61"/>
      <c r="AM98" s="61"/>
      <c r="AN98" s="61"/>
      <c r="AO98" s="48"/>
    </row>
    <row r="99" spans="27:41" ht="12.75">
      <c r="AA99" s="53"/>
      <c r="AB99" s="53"/>
      <c r="AC99" s="53"/>
      <c r="AE99" s="48"/>
      <c r="AF99" s="48"/>
      <c r="AG99" s="48"/>
      <c r="AH99" s="48"/>
      <c r="AI99" s="63"/>
      <c r="AJ99" s="61"/>
      <c r="AK99" s="61"/>
      <c r="AL99" s="61"/>
      <c r="AM99" s="61"/>
      <c r="AN99" s="61"/>
      <c r="AO99" s="48"/>
    </row>
    <row r="100" spans="27:41" ht="12.75">
      <c r="AA100" s="53"/>
      <c r="AB100" s="53"/>
      <c r="AC100" s="53"/>
      <c r="AE100" s="48"/>
      <c r="AF100" s="48"/>
      <c r="AG100" s="48"/>
      <c r="AH100" s="48"/>
      <c r="AI100" s="61"/>
      <c r="AJ100" s="61"/>
      <c r="AK100" s="61"/>
      <c r="AL100" s="61"/>
      <c r="AM100" s="61"/>
      <c r="AN100" s="61"/>
      <c r="AO100" s="48"/>
    </row>
    <row r="101" spans="27:41" ht="12.75">
      <c r="AA101" s="53"/>
      <c r="AB101" s="53"/>
      <c r="AC101" s="53"/>
      <c r="AE101" s="48"/>
      <c r="AF101" s="48"/>
      <c r="AG101" s="48"/>
      <c r="AH101" s="48"/>
      <c r="AI101" s="61"/>
      <c r="AJ101" s="61"/>
      <c r="AK101" s="61"/>
      <c r="AL101" s="61"/>
      <c r="AM101" s="61"/>
      <c r="AN101" s="61"/>
      <c r="AO101" s="48"/>
    </row>
    <row r="102" spans="27:41" ht="12.75">
      <c r="AA102" s="53"/>
      <c r="AB102" s="53"/>
      <c r="AC102" s="53"/>
      <c r="AE102" s="48"/>
      <c r="AF102" s="48"/>
      <c r="AG102" s="48"/>
      <c r="AH102" s="48"/>
      <c r="AI102" s="61"/>
      <c r="AJ102" s="61"/>
      <c r="AK102" s="61"/>
      <c r="AL102" s="61"/>
      <c r="AM102" s="61"/>
      <c r="AN102" s="61"/>
      <c r="AO102" s="48"/>
    </row>
    <row r="103" spans="27:41" ht="12.75">
      <c r="AA103" s="53"/>
      <c r="AB103" s="53"/>
      <c r="AC103" s="53"/>
      <c r="AE103" s="48"/>
      <c r="AF103" s="48"/>
      <c r="AG103" s="48"/>
      <c r="AH103" s="48"/>
      <c r="AI103" s="61"/>
      <c r="AJ103" s="61"/>
      <c r="AK103" s="61"/>
      <c r="AL103" s="61"/>
      <c r="AM103" s="61"/>
      <c r="AN103" s="61"/>
      <c r="AO103" s="48"/>
    </row>
    <row r="104" spans="27:41" ht="12.75">
      <c r="AA104" s="53"/>
      <c r="AB104" s="53"/>
      <c r="AE104" s="48"/>
      <c r="AF104" s="48"/>
      <c r="AI104" s="53"/>
      <c r="AJ104" s="53"/>
      <c r="AK104" s="53"/>
      <c r="AL104" s="61"/>
      <c r="AM104" s="61"/>
      <c r="AN104" s="61"/>
      <c r="AO104" s="48"/>
    </row>
    <row r="105" spans="27:41" ht="12.75">
      <c r="AA105" s="53"/>
      <c r="AB105" s="53"/>
      <c r="AE105" s="48"/>
      <c r="AI105" s="53"/>
      <c r="AJ105" s="53"/>
      <c r="AK105" s="53"/>
      <c r="AL105" s="53"/>
      <c r="AM105" s="61"/>
      <c r="AN105" s="61"/>
      <c r="AO105" s="48"/>
    </row>
    <row r="106" spans="35:41" ht="12.75">
      <c r="AI106" s="53"/>
      <c r="AJ106" s="53"/>
      <c r="AK106" s="53"/>
      <c r="AL106" s="53"/>
      <c r="AM106" s="61"/>
      <c r="AN106" s="61"/>
      <c r="AO106" s="48"/>
    </row>
    <row r="107" spans="35:41" ht="12.75">
      <c r="AI107" s="53"/>
      <c r="AJ107" s="53"/>
      <c r="AK107" s="53"/>
      <c r="AL107" s="53"/>
      <c r="AM107" s="53"/>
      <c r="AN107" s="61"/>
      <c r="AO107" s="48"/>
    </row>
    <row r="108" spans="38:41" ht="12.75">
      <c r="AL108" s="53"/>
      <c r="AM108" s="53"/>
      <c r="AN108" s="61"/>
      <c r="AO108" s="48"/>
    </row>
    <row r="109" spans="38:41" ht="12.75">
      <c r="AL109" s="53"/>
      <c r="AM109" s="53"/>
      <c r="AN109" s="53"/>
      <c r="AO109" s="48"/>
    </row>
    <row r="110" spans="38:40" ht="12.75">
      <c r="AL110" s="53"/>
      <c r="AM110" s="53"/>
      <c r="AN110" s="53"/>
    </row>
    <row r="111" spans="38:40" ht="12.75">
      <c r="AL111" s="53"/>
      <c r="AM111" s="53"/>
      <c r="AN111" s="53"/>
    </row>
    <row r="112" spans="38:40" ht="12.75">
      <c r="AL112" s="53"/>
      <c r="AM112" s="53"/>
      <c r="AN112" s="53"/>
    </row>
    <row r="113" spans="38:40" ht="12.75">
      <c r="AL113" s="53"/>
      <c r="AM113" s="53"/>
      <c r="AN113" s="53"/>
    </row>
    <row r="114" spans="38:40" ht="12.75">
      <c r="AL114" s="53"/>
      <c r="AM114" s="53"/>
      <c r="AN114" s="53"/>
    </row>
    <row r="115" spans="38:40" ht="12.75">
      <c r="AL115" s="53"/>
      <c r="AM115" s="53"/>
      <c r="AN115" s="53"/>
    </row>
    <row r="116" spans="39:40" ht="12.75">
      <c r="AM116" s="53"/>
      <c r="AN116" s="53"/>
    </row>
    <row r="117" spans="39:40" ht="12.75">
      <c r="AM117" s="53"/>
      <c r="AN117" s="53"/>
    </row>
    <row r="118" ht="12.75">
      <c r="AN118" s="53"/>
    </row>
    <row r="119" ht="12.75">
      <c r="AN119" s="53"/>
    </row>
  </sheetData>
  <mergeCells count="9">
    <mergeCell ref="A10:I10"/>
    <mergeCell ref="BA5:BK5"/>
    <mergeCell ref="A7:I7"/>
    <mergeCell ref="A8:I8"/>
    <mergeCell ref="A9:I9"/>
    <mergeCell ref="U7:AE7"/>
    <mergeCell ref="U8:AE8"/>
    <mergeCell ref="U9:AE9"/>
    <mergeCell ref="U10:AE10"/>
  </mergeCells>
  <printOptions horizontalCentered="1"/>
  <pageMargins left="0" right="0" top="0.57" bottom="0.78" header="0.5" footer="0.5"/>
  <pageSetup horizontalDpi="300" verticalDpi="300" orientation="portrait" r:id="rId2"/>
  <headerFooter alignWithMargins="0">
    <oddFooter>&amp;L&amp;"Times New Roman,Bold"&amp;8RP-1999-0001&amp;R&amp;"MS Sans Serif,Bold"&amp;8&amp;D, &amp;T</oddFooter>
  </headerFooter>
  <rowBreaks count="2" manualBreakCount="2">
    <brk id="3" max="65535" man="1"/>
    <brk id="74" max="255" man="1"/>
  </rowBreaks>
  <colBreaks count="4" manualBreakCount="4">
    <brk id="9" max="65535" man="1"/>
    <brk id="20" max="65535" man="1"/>
    <brk id="31" max="65535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sweeted</dc:creator>
  <cp:keywords/>
  <dc:description/>
  <cp:lastModifiedBy>SteskiCa</cp:lastModifiedBy>
  <cp:lastPrinted>2002-10-08T17:32:37Z</cp:lastPrinted>
  <dcterms:created xsi:type="dcterms:W3CDTF">1998-08-10T15:54:10Z</dcterms:created>
  <dcterms:modified xsi:type="dcterms:W3CDTF">2002-12-17T14:32:29Z</dcterms:modified>
  <cp:category/>
  <cp:version/>
  <cp:contentType/>
  <cp:contentStatus/>
</cp:coreProperties>
</file>